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66925"/>
  <mc:AlternateContent xmlns:mc="http://schemas.openxmlformats.org/markup-compatibility/2006">
    <mc:Choice Requires="x15">
      <x15ac:absPath xmlns:x15ac="http://schemas.microsoft.com/office/spreadsheetml/2010/11/ac" url="P:\4 - JOCS\2 - Construction Contracts\Pre-Bid\JOC November 2021\"/>
    </mc:Choice>
  </mc:AlternateContent>
  <xr:revisionPtr revIDLastSave="0" documentId="8_{D6576EA8-CA46-40CD-9B98-9B6698FD3AC2}" xr6:coauthVersionLast="46" xr6:coauthVersionMax="46" xr10:uidLastSave="{00000000-0000-0000-0000-000000000000}"/>
  <bookViews>
    <workbookView xWindow="-110" yWindow="-110" windowWidth="19420" windowHeight="10560"/>
  </bookViews>
  <sheets>
    <sheet name="AttendancePreliminaryDetailedRe" sheetId="1" r:id="rId1"/>
  </sheets>
  <calcPr calcId="0"/>
</workbook>
</file>

<file path=xl/calcChain.xml><?xml version="1.0" encoding="utf-8"?>
<calcChain xmlns="http://schemas.openxmlformats.org/spreadsheetml/2006/main">
  <c r="B3" i="1" l="1"/>
  <c r="W3" i="1"/>
  <c r="Y3" i="1"/>
  <c r="Z3" i="1"/>
  <c r="AA3" i="1"/>
  <c r="AB3" i="1"/>
  <c r="AC3" i="1"/>
  <c r="AD3" i="1"/>
  <c r="AE3" i="1"/>
  <c r="AG3" i="1"/>
  <c r="AH3" i="1"/>
  <c r="AI3" i="1"/>
  <c r="AJ3" i="1"/>
  <c r="AK3" i="1"/>
  <c r="AL3" i="1"/>
  <c r="AM3" i="1"/>
  <c r="AN3" i="1"/>
  <c r="AO3" i="1"/>
  <c r="AP3" i="1"/>
  <c r="B4" i="1"/>
  <c r="W4" i="1"/>
  <c r="Y4" i="1"/>
  <c r="Z4" i="1"/>
  <c r="AA4" i="1"/>
  <c r="AB4" i="1"/>
  <c r="AC4" i="1"/>
  <c r="AD4" i="1"/>
  <c r="AE4" i="1"/>
  <c r="AG4" i="1"/>
  <c r="AH4" i="1"/>
  <c r="AI4" i="1"/>
  <c r="AJ4" i="1"/>
  <c r="AK4" i="1"/>
  <c r="AL4" i="1"/>
  <c r="AM4" i="1"/>
  <c r="AN4" i="1"/>
  <c r="AO4" i="1"/>
  <c r="AP4" i="1"/>
  <c r="B5" i="1"/>
  <c r="W5" i="1"/>
  <c r="Y5" i="1"/>
  <c r="Z5" i="1"/>
  <c r="AA5" i="1"/>
  <c r="AB5" i="1"/>
  <c r="AC5" i="1"/>
  <c r="AD5" i="1"/>
  <c r="AE5" i="1"/>
  <c r="AG5" i="1"/>
  <c r="AH5" i="1"/>
  <c r="AI5" i="1"/>
  <c r="AJ5" i="1"/>
  <c r="AK5" i="1"/>
  <c r="AL5" i="1"/>
  <c r="AM5" i="1"/>
  <c r="AN5" i="1"/>
  <c r="AO5" i="1"/>
  <c r="AP5" i="1"/>
  <c r="B6" i="1"/>
  <c r="W6" i="1"/>
  <c r="Y6" i="1"/>
  <c r="Z6" i="1"/>
  <c r="AA6" i="1"/>
  <c r="AB6" i="1"/>
  <c r="AC6" i="1"/>
  <c r="AD6" i="1"/>
  <c r="AE6" i="1"/>
  <c r="AG6" i="1"/>
  <c r="AH6" i="1"/>
  <c r="AI6" i="1"/>
  <c r="AJ6" i="1"/>
  <c r="AK6" i="1"/>
  <c r="AL6" i="1"/>
  <c r="AM6" i="1"/>
  <c r="AN6" i="1"/>
  <c r="AO6" i="1"/>
  <c r="AP6" i="1"/>
  <c r="B7" i="1"/>
  <c r="W7" i="1"/>
  <c r="Y7" i="1"/>
  <c r="Z7" i="1"/>
  <c r="AA7" i="1"/>
  <c r="AB7" i="1"/>
  <c r="AC7" i="1"/>
  <c r="AD7" i="1"/>
  <c r="AE7" i="1"/>
  <c r="AG7" i="1"/>
  <c r="AH7" i="1"/>
  <c r="AI7" i="1"/>
  <c r="AJ7" i="1"/>
  <c r="AK7" i="1"/>
  <c r="AL7" i="1"/>
  <c r="AM7" i="1"/>
  <c r="AN7" i="1"/>
  <c r="AO7" i="1"/>
  <c r="AP7" i="1"/>
  <c r="B8" i="1"/>
  <c r="W8" i="1"/>
  <c r="Y8" i="1"/>
  <c r="Z8" i="1"/>
  <c r="AA8" i="1"/>
  <c r="AB8" i="1"/>
  <c r="AC8" i="1"/>
  <c r="AD8" i="1"/>
  <c r="AE8" i="1"/>
  <c r="AG8" i="1"/>
  <c r="AH8" i="1"/>
  <c r="AI8" i="1"/>
  <c r="AJ8" i="1"/>
  <c r="AK8" i="1"/>
  <c r="AL8" i="1"/>
  <c r="AM8" i="1"/>
  <c r="AN8" i="1"/>
  <c r="AO8" i="1"/>
  <c r="AP8" i="1"/>
  <c r="B9" i="1"/>
  <c r="W9" i="1"/>
  <c r="Y9" i="1"/>
  <c r="Z9" i="1"/>
  <c r="AA9" i="1"/>
  <c r="AB9" i="1"/>
  <c r="AC9" i="1"/>
  <c r="AD9" i="1"/>
  <c r="AE9" i="1"/>
  <c r="AG9" i="1"/>
  <c r="AH9" i="1"/>
  <c r="AI9" i="1"/>
  <c r="AJ9" i="1"/>
  <c r="AK9" i="1"/>
  <c r="AL9" i="1"/>
  <c r="AM9" i="1"/>
  <c r="AN9" i="1"/>
  <c r="AO9" i="1"/>
  <c r="AP9" i="1"/>
  <c r="B10" i="1"/>
  <c r="W10" i="1"/>
  <c r="Y10" i="1"/>
  <c r="Z10" i="1"/>
  <c r="AA10" i="1"/>
  <c r="AB10" i="1"/>
  <c r="AC10" i="1"/>
  <c r="AD10" i="1"/>
  <c r="AE10" i="1"/>
  <c r="AG10" i="1"/>
  <c r="AH10" i="1"/>
  <c r="AI10" i="1"/>
  <c r="AJ10" i="1"/>
  <c r="AK10" i="1"/>
  <c r="AL10" i="1"/>
  <c r="AM10" i="1"/>
  <c r="AN10" i="1"/>
  <c r="AO10" i="1"/>
  <c r="AP10" i="1"/>
  <c r="B11" i="1"/>
  <c r="W11" i="1"/>
  <c r="Y11" i="1"/>
  <c r="Z11" i="1"/>
  <c r="AA11" i="1"/>
  <c r="AB11" i="1"/>
  <c r="AC11" i="1"/>
  <c r="AD11" i="1"/>
  <c r="AE11" i="1"/>
  <c r="AG11" i="1"/>
  <c r="AH11" i="1"/>
  <c r="AI11" i="1"/>
  <c r="AJ11" i="1"/>
  <c r="AK11" i="1"/>
  <c r="AL11" i="1"/>
  <c r="AM11" i="1"/>
  <c r="AN11" i="1"/>
  <c r="AO11" i="1"/>
  <c r="AP11" i="1"/>
  <c r="B12" i="1"/>
  <c r="W12" i="1"/>
  <c r="Y12" i="1"/>
  <c r="Z12" i="1"/>
  <c r="AA12" i="1"/>
  <c r="AB12" i="1"/>
  <c r="AC12" i="1"/>
  <c r="AD12" i="1"/>
  <c r="AE12" i="1"/>
  <c r="AG12" i="1"/>
  <c r="AH12" i="1"/>
  <c r="AI12" i="1"/>
  <c r="AJ12" i="1"/>
  <c r="AK12" i="1"/>
  <c r="AL12" i="1"/>
  <c r="AM12" i="1"/>
  <c r="AN12" i="1"/>
  <c r="AO12" i="1"/>
  <c r="AP12" i="1"/>
  <c r="B13" i="1"/>
  <c r="W13" i="1"/>
  <c r="Y13" i="1"/>
  <c r="Z13" i="1"/>
  <c r="AA13" i="1"/>
  <c r="AB13" i="1"/>
  <c r="AC13" i="1"/>
  <c r="AD13" i="1"/>
  <c r="AE13" i="1"/>
  <c r="AG13" i="1"/>
  <c r="AH13" i="1"/>
  <c r="AI13" i="1"/>
  <c r="AJ13" i="1"/>
  <c r="AK13" i="1"/>
  <c r="AL13" i="1"/>
  <c r="AM13" i="1"/>
  <c r="AN13" i="1"/>
  <c r="AO13" i="1"/>
  <c r="AP13" i="1"/>
  <c r="B14" i="1"/>
  <c r="W14" i="1"/>
  <c r="Y14" i="1"/>
  <c r="Z14" i="1"/>
  <c r="AA14" i="1"/>
  <c r="AB14" i="1"/>
  <c r="AC14" i="1"/>
  <c r="AD14" i="1"/>
  <c r="AE14" i="1"/>
  <c r="AG14" i="1"/>
  <c r="AH14" i="1"/>
  <c r="AI14" i="1"/>
  <c r="AJ14" i="1"/>
  <c r="AK14" i="1"/>
  <c r="AL14" i="1"/>
  <c r="AM14" i="1"/>
  <c r="AN14" i="1"/>
  <c r="AO14" i="1"/>
  <c r="AP14" i="1"/>
  <c r="B15" i="1"/>
  <c r="W15" i="1"/>
  <c r="Y15" i="1"/>
  <c r="Z15" i="1"/>
  <c r="AA15" i="1"/>
  <c r="AB15" i="1"/>
  <c r="AC15" i="1"/>
  <c r="AD15" i="1"/>
  <c r="AE15" i="1"/>
  <c r="AG15" i="1"/>
  <c r="AH15" i="1"/>
  <c r="AI15" i="1"/>
  <c r="AJ15" i="1"/>
  <c r="AK15" i="1"/>
  <c r="AL15" i="1"/>
  <c r="AM15" i="1"/>
  <c r="AN15" i="1"/>
  <c r="AO15" i="1"/>
  <c r="AP15" i="1"/>
  <c r="B16" i="1"/>
  <c r="W16" i="1"/>
  <c r="Y16" i="1"/>
  <c r="Z16" i="1"/>
  <c r="AA16" i="1"/>
  <c r="AB16" i="1"/>
  <c r="AC16" i="1"/>
  <c r="AD16" i="1"/>
  <c r="AE16" i="1"/>
  <c r="AG16" i="1"/>
  <c r="AH16" i="1"/>
  <c r="AI16" i="1"/>
  <c r="AJ16" i="1"/>
  <c r="AK16" i="1"/>
  <c r="AL16" i="1"/>
  <c r="AM16" i="1"/>
  <c r="AN16" i="1"/>
  <c r="AO16" i="1"/>
  <c r="AP16" i="1"/>
  <c r="B17" i="1"/>
  <c r="W17" i="1"/>
  <c r="Y17" i="1"/>
  <c r="Z17" i="1"/>
  <c r="AA17" i="1"/>
  <c r="AB17" i="1"/>
  <c r="AC17" i="1"/>
  <c r="AD17" i="1"/>
  <c r="AE17" i="1"/>
  <c r="AG17" i="1"/>
  <c r="AH17" i="1"/>
  <c r="AI17" i="1"/>
  <c r="AJ17" i="1"/>
  <c r="AK17" i="1"/>
  <c r="AL17" i="1"/>
  <c r="AM17" i="1"/>
  <c r="AN17" i="1"/>
  <c r="AO17" i="1"/>
  <c r="AP17" i="1"/>
  <c r="B18" i="1"/>
  <c r="W18" i="1"/>
  <c r="Y18" i="1"/>
  <c r="Z18" i="1"/>
  <c r="AA18" i="1"/>
  <c r="AB18" i="1"/>
  <c r="AC18" i="1"/>
  <c r="AD18" i="1"/>
  <c r="AE18" i="1"/>
  <c r="AG18" i="1"/>
  <c r="AH18" i="1"/>
  <c r="AI18" i="1"/>
  <c r="AJ18" i="1"/>
  <c r="AK18" i="1"/>
  <c r="AL18" i="1"/>
  <c r="AM18" i="1"/>
  <c r="AN18" i="1"/>
  <c r="AO18" i="1"/>
  <c r="AP18" i="1"/>
  <c r="B19" i="1"/>
  <c r="W19" i="1"/>
  <c r="Y19" i="1"/>
  <c r="Z19" i="1"/>
  <c r="AA19" i="1"/>
  <c r="AB19" i="1"/>
  <c r="AC19" i="1"/>
  <c r="AD19" i="1"/>
  <c r="AE19" i="1"/>
  <c r="AG19" i="1"/>
  <c r="AH19" i="1"/>
  <c r="AI19" i="1"/>
  <c r="AJ19" i="1"/>
  <c r="AK19" i="1"/>
  <c r="AL19" i="1"/>
  <c r="AM19" i="1"/>
  <c r="AN19" i="1"/>
  <c r="AO19" i="1"/>
  <c r="AP19" i="1"/>
  <c r="B20" i="1"/>
  <c r="W20" i="1"/>
  <c r="Y20" i="1"/>
  <c r="Z20" i="1"/>
  <c r="AA20" i="1"/>
  <c r="AB20" i="1"/>
  <c r="AC20" i="1"/>
  <c r="AD20" i="1"/>
  <c r="AE20" i="1"/>
  <c r="AG20" i="1"/>
  <c r="AH20" i="1"/>
  <c r="AI20" i="1"/>
  <c r="AJ20" i="1"/>
  <c r="AK20" i="1"/>
  <c r="AL20" i="1"/>
  <c r="AM20" i="1"/>
  <c r="AN20" i="1"/>
  <c r="AO20" i="1"/>
  <c r="AP20" i="1"/>
  <c r="B21" i="1"/>
  <c r="W21" i="1"/>
  <c r="Y21" i="1"/>
  <c r="Z21" i="1"/>
  <c r="AA21" i="1"/>
  <c r="AB21" i="1"/>
  <c r="AC21" i="1"/>
  <c r="AD21" i="1"/>
  <c r="AE21" i="1"/>
  <c r="AG21" i="1"/>
  <c r="AH21" i="1"/>
  <c r="AI21" i="1"/>
  <c r="AJ21" i="1"/>
  <c r="AK21" i="1"/>
  <c r="AL21" i="1"/>
  <c r="AM21" i="1"/>
  <c r="AN21" i="1"/>
  <c r="AO21" i="1"/>
  <c r="AP21" i="1"/>
  <c r="B22" i="1"/>
  <c r="W22" i="1"/>
  <c r="Y22" i="1"/>
  <c r="Z22" i="1"/>
  <c r="AA22" i="1"/>
  <c r="AB22" i="1"/>
  <c r="AC22" i="1"/>
  <c r="AD22" i="1"/>
  <c r="AE22" i="1"/>
  <c r="AG22" i="1"/>
  <c r="AH22" i="1"/>
  <c r="AI22" i="1"/>
  <c r="AJ22" i="1"/>
  <c r="AK22" i="1"/>
  <c r="AL22" i="1"/>
  <c r="AM22" i="1"/>
  <c r="AN22" i="1"/>
  <c r="AO22" i="1"/>
  <c r="AP22" i="1"/>
  <c r="B23" i="1"/>
  <c r="W23" i="1"/>
  <c r="Y23" i="1"/>
  <c r="Z23" i="1"/>
  <c r="AA23" i="1"/>
  <c r="AB23" i="1"/>
  <c r="AC23" i="1"/>
  <c r="AD23" i="1"/>
  <c r="AE23" i="1"/>
  <c r="AG23" i="1"/>
  <c r="AH23" i="1"/>
  <c r="AI23" i="1"/>
  <c r="AJ23" i="1"/>
  <c r="AK23" i="1"/>
  <c r="AL23" i="1"/>
  <c r="AM23" i="1"/>
  <c r="AN23" i="1"/>
  <c r="AO23" i="1"/>
  <c r="AP23" i="1"/>
  <c r="B24" i="1"/>
  <c r="W24" i="1"/>
  <c r="Y24" i="1"/>
  <c r="Z24" i="1"/>
  <c r="AA24" i="1"/>
  <c r="AB24" i="1"/>
  <c r="AC24" i="1"/>
  <c r="AD24" i="1"/>
  <c r="AE24" i="1"/>
  <c r="AG24" i="1"/>
  <c r="AH24" i="1"/>
  <c r="AI24" i="1"/>
  <c r="AJ24" i="1"/>
  <c r="AK24" i="1"/>
  <c r="AL24" i="1"/>
  <c r="AM24" i="1"/>
  <c r="AN24" i="1"/>
  <c r="AO24" i="1"/>
  <c r="AP24" i="1"/>
  <c r="B25" i="1"/>
  <c r="W25" i="1"/>
  <c r="Y25" i="1"/>
  <c r="Z25" i="1"/>
  <c r="AA25" i="1"/>
  <c r="AB25" i="1"/>
  <c r="AC25" i="1"/>
  <c r="AD25" i="1"/>
  <c r="AE25" i="1"/>
  <c r="AG25" i="1"/>
  <c r="AH25" i="1"/>
  <c r="AI25" i="1"/>
  <c r="AJ25" i="1"/>
  <c r="AK25" i="1"/>
  <c r="AL25" i="1"/>
  <c r="AM25" i="1"/>
  <c r="AN25" i="1"/>
  <c r="AO25" i="1"/>
  <c r="AP25" i="1"/>
</calcChain>
</file>

<file path=xl/sharedStrings.xml><?xml version="1.0" encoding="utf-8"?>
<sst xmlns="http://schemas.openxmlformats.org/spreadsheetml/2006/main" count="442" uniqueCount="149">
  <si>
    <t>Caution: This is a preliminary report. It provides immediate access to event data before the final report becomes available. When the final report is available, event data appears only in the final report, not in the preliminary report.</t>
  </si>
  <si>
    <t xml:space="preserve">Attendance Count  </t>
  </si>
  <si>
    <t xml:space="preserve">Event ID  </t>
  </si>
  <si>
    <t xml:space="preserve">Event Key  </t>
  </si>
  <si>
    <t xml:space="preserve">Program Name  </t>
  </si>
  <si>
    <t xml:space="preserve">Event Name  </t>
  </si>
  <si>
    <t xml:space="preserve">Event Start Date  </t>
  </si>
  <si>
    <t xml:space="preserve">Event Start Time  </t>
  </si>
  <si>
    <t xml:space="preserve">Event End Time  </t>
  </si>
  <si>
    <t xml:space="preserve">Event/Recording Duration  </t>
  </si>
  <si>
    <t xml:space="preserve">User Type  </t>
  </si>
  <si>
    <t xml:space="preserve">FirstName  </t>
  </si>
  <si>
    <t xml:space="preserve">LastName  </t>
  </si>
  <si>
    <t xml:space="preserve">Email  </t>
  </si>
  <si>
    <t xml:space="preserve">Invited  </t>
  </si>
  <si>
    <t xml:space="preserve">Registered  </t>
  </si>
  <si>
    <t xml:space="preserve">Attended  </t>
  </si>
  <si>
    <t xml:space="preserve">Join Time  </t>
  </si>
  <si>
    <t xml:space="preserve">Lead Source ID  </t>
  </si>
  <si>
    <t xml:space="preserve">Registration Date/Time  </t>
  </si>
  <si>
    <t xml:space="preserve">Registration ID  </t>
  </si>
  <si>
    <t xml:space="preserve">Registration Score  </t>
  </si>
  <si>
    <t xml:space="preserve">Okay to send email  </t>
  </si>
  <si>
    <t xml:space="preserve">Title  </t>
  </si>
  <si>
    <t xml:space="preserve">Number of Employees  </t>
  </si>
  <si>
    <t xml:space="preserve">Company  </t>
  </si>
  <si>
    <t xml:space="preserve">Phone  </t>
  </si>
  <si>
    <t xml:space="preserve">Address 1  </t>
  </si>
  <si>
    <t xml:space="preserve">Address 2  </t>
  </si>
  <si>
    <t xml:space="preserve">City  </t>
  </si>
  <si>
    <t xml:space="preserve">State/Province  </t>
  </si>
  <si>
    <t xml:space="preserve">Postal/Zip Code  </t>
  </si>
  <si>
    <t xml:space="preserve">Country/Region  </t>
  </si>
  <si>
    <t xml:space="preserve">Trade Specialization  </t>
  </si>
  <si>
    <t xml:space="preserve">Trade contract you are interested in bidding. If multiple, use semi-colon to separate each listing.  </t>
  </si>
  <si>
    <t xml:space="preserve">Bonding capacity (per project)  </t>
  </si>
  <si>
    <t xml:space="preserve">Bonding capacity (aggregate)  </t>
  </si>
  <si>
    <t xml:space="preserve">Is your firm a NYS-certified WBE?  </t>
  </si>
  <si>
    <t xml:space="preserve">Is your firm a NYS-certified MBE?  </t>
  </si>
  <si>
    <t xml:space="preserve">Is your firm a NYS-certified SVDOB?  </t>
  </si>
  <si>
    <t xml:space="preserve">Is your firm Currently a DASNY JOC Contractor?  </t>
  </si>
  <si>
    <t xml:space="preserve">Has your firm worked on DASNY projects as a prime or sub-contractor  </t>
  </si>
  <si>
    <t xml:space="preserve">Has your firm bid on DASNY JOC contract solicitations?  </t>
  </si>
  <si>
    <t xml:space="preserve">  </t>
  </si>
  <si>
    <t>JOCs Pre-Bid Meeting</t>
  </si>
  <si>
    <t>November 4, 2021 New York Time</t>
  </si>
  <si>
    <t>10:00 am New York Time</t>
  </si>
  <si>
    <t>12:30 pm New York Time</t>
  </si>
  <si>
    <t>150.0 mins</t>
  </si>
  <si>
    <t>Panelist</t>
  </si>
  <si>
    <t>michael</t>
  </si>
  <si>
    <t>clay</t>
  </si>
  <si>
    <t>mclay@dasny.org</t>
  </si>
  <si>
    <t>Yes</t>
  </si>
  <si>
    <t>No</t>
  </si>
  <si>
    <t>9:49 am New York Time</t>
  </si>
  <si>
    <t>Attendee</t>
  </si>
  <si>
    <t>Yuriy</t>
  </si>
  <si>
    <t>Agranov</t>
  </si>
  <si>
    <t>yagranov@wdfinc.net</t>
  </si>
  <si>
    <t>10:01 am New York Time</t>
  </si>
  <si>
    <t>October 27, 2021 7:03 pm New York Time</t>
  </si>
  <si>
    <t>United States of America</t>
  </si>
  <si>
    <t>Muhammad</t>
  </si>
  <si>
    <t>Saleem</t>
  </si>
  <si>
    <t>msaleem@rph.nyc</t>
  </si>
  <si>
    <t>November 4, 2021 10:01 am New York Time</t>
  </si>
  <si>
    <t>Adriel</t>
  </si>
  <si>
    <t>Pratt</t>
  </si>
  <si>
    <t>fyahworksinc@gmail.com</t>
  </si>
  <si>
    <t>9:58 am New York Time</t>
  </si>
  <si>
    <t>November 3, 2021 2:12 pm New York Time</t>
  </si>
  <si>
    <t>Geraldine</t>
  </si>
  <si>
    <t>Aljoe</t>
  </si>
  <si>
    <t>galjoe@eagle1mechanical.com</t>
  </si>
  <si>
    <t>9:52 am New York Time</t>
  </si>
  <si>
    <t>November 1, 2021 12:09 pm New York Time</t>
  </si>
  <si>
    <t>Dina</t>
  </si>
  <si>
    <t>Cardoso</t>
  </si>
  <si>
    <t>dcardoso@wdfinc.net</t>
  </si>
  <si>
    <t>10:03 am New York Time</t>
  </si>
  <si>
    <t>October 27, 2021 11:50 am New York Time</t>
  </si>
  <si>
    <t>sheldon</t>
  </si>
  <si>
    <t>johnson</t>
  </si>
  <si>
    <t>sjohnson@dasny.org</t>
  </si>
  <si>
    <t>9:37 am New York Time</t>
  </si>
  <si>
    <t>Joseph</t>
  </si>
  <si>
    <t>Turchiano</t>
  </si>
  <si>
    <t>jturchiano@rph.nyc</t>
  </si>
  <si>
    <t>10:06 am New York Time</t>
  </si>
  <si>
    <t>November 4, 2021 10:06 am New York Time</t>
  </si>
  <si>
    <t>Richard</t>
  </si>
  <si>
    <t>rturchiano@rph.nyc</t>
  </si>
  <si>
    <t>November 4, 2021 10:03 am New York Time</t>
  </si>
  <si>
    <t>Brian</t>
  </si>
  <si>
    <t>Nicholas</t>
  </si>
  <si>
    <t>bnicholas@rph.nyc</t>
  </si>
  <si>
    <t>10:04 am New York Time</t>
  </si>
  <si>
    <t>November 4, 2021 10:04 am New York Time</t>
  </si>
  <si>
    <t>Harold</t>
  </si>
  <si>
    <t>Barreto</t>
  </si>
  <si>
    <t>hbarreto@crescentcontracting.com</t>
  </si>
  <si>
    <t>9:59 am New York Time</t>
  </si>
  <si>
    <t>November 1, 2021 3:09 pm New York Time</t>
  </si>
  <si>
    <t>Mirin</t>
  </si>
  <si>
    <t>Thangarajah</t>
  </si>
  <si>
    <t>mthangarajah@welkinmechanical.com</t>
  </si>
  <si>
    <t>9:36 am New York Time</t>
  </si>
  <si>
    <t>November 1, 2021 9:12 am New York Time</t>
  </si>
  <si>
    <t>JOC</t>
  </si>
  <si>
    <t>Meeting</t>
  </si>
  <si>
    <t>jocadmin@dasny.org</t>
  </si>
  <si>
    <t>9:27 am New York Time</t>
  </si>
  <si>
    <t>samuel</t>
  </si>
  <si>
    <t>nunez</t>
  </si>
  <si>
    <t>snunez718@gmail.com</t>
  </si>
  <si>
    <t>9:55 am New York Time</t>
  </si>
  <si>
    <t>November 3, 2021 2:54 pm New York Time</t>
  </si>
  <si>
    <t>Wayne</t>
  </si>
  <si>
    <t>Benjamin</t>
  </si>
  <si>
    <t>wbenjami@dasny.org</t>
  </si>
  <si>
    <t>9:53 am New York Time</t>
  </si>
  <si>
    <t>Sofia</t>
  </si>
  <si>
    <t>Antoniadis</t>
  </si>
  <si>
    <t>acecoinc@aol.com</t>
  </si>
  <si>
    <t>October 22, 2021 3:55 pm New York Time</t>
  </si>
  <si>
    <t>Rene</t>
  </si>
  <si>
    <t>Pedroso</t>
  </si>
  <si>
    <t>r.pedroso@gordian.com</t>
  </si>
  <si>
    <t>9:38 am New York Time</t>
  </si>
  <si>
    <t>November 4, 2021 9:38 am New York Time</t>
  </si>
  <si>
    <t>wayne</t>
  </si>
  <si>
    <t>benjamin</t>
  </si>
  <si>
    <t>9:40 am New York Time</t>
  </si>
  <si>
    <t>Gabriella</t>
  </si>
  <si>
    <t>Melnick</t>
  </si>
  <si>
    <t>gabriella@axisystem.com</t>
  </si>
  <si>
    <t>11:01 am New York Time</t>
  </si>
  <si>
    <t>November 4, 2021 11:01 am New York Time</t>
  </si>
  <si>
    <t>Max</t>
  </si>
  <si>
    <t>Mangin</t>
  </si>
  <si>
    <t>max@axisystem.com</t>
  </si>
  <si>
    <t>9:41 am New York Time</t>
  </si>
  <si>
    <t>November 4, 2021 9:41 am New York Time</t>
  </si>
  <si>
    <t>Reuben</t>
  </si>
  <si>
    <t>McDaniel</t>
  </si>
  <si>
    <t>rmcdaniel@dasny.org</t>
  </si>
  <si>
    <t>9:42 am New York Time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</si>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</sst>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tabSelected="1" workbookViewId="0"/>
  </sheetViews>
  <sheetFormatPr defaultRowHeight="14.5" x14ac:dyDescent="0.35"/>
  <sheetData>
    <row r="1" spans="1:42" x14ac:dyDescent="0.35">
      <c r="A1" t="s">
        <v>0</v>
      </c>
    </row>
    <row r="2" spans="1:42" x14ac:dyDescent="0.35">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c r="AL2" t="s">
        <v>38</v>
      </c>
      <c r="AM2" t="s">
        <v>39</v>
      </c>
      <c r="AN2" t="s">
        <v>40</v>
      </c>
      <c r="AO2" t="s">
        <v>41</v>
      </c>
      <c r="AP2" t="s">
        <v>42</v>
      </c>
    </row>
    <row r="3" spans="1:42" x14ac:dyDescent="0.35">
      <c r="A3">
        <v>1</v>
      </c>
      <c r="B3" t="str">
        <f t="shared" ref="B3:B25" si="0">"208515947798995670"</f>
        <v>208515947798995670</v>
      </c>
      <c r="C3">
        <v>23103959732</v>
      </c>
      <c r="D3" t="s">
        <v>43</v>
      </c>
      <c r="E3" t="s">
        <v>44</v>
      </c>
      <c r="F3" t="s">
        <v>45</v>
      </c>
      <c r="G3" t="s">
        <v>46</v>
      </c>
      <c r="H3" t="s">
        <v>47</v>
      </c>
      <c r="I3" t="s">
        <v>48</v>
      </c>
      <c r="J3" t="s">
        <v>49</v>
      </c>
      <c r="K3" t="s">
        <v>50</v>
      </c>
      <c r="L3" t="s">
        <v>51</v>
      </c>
      <c r="M3" t="s">
        <v>52</v>
      </c>
      <c r="N3" t="s">
        <v>53</v>
      </c>
      <c r="O3" t="s">
        <v>54</v>
      </c>
      <c r="P3" t="s">
        <v>53</v>
      </c>
      <c r="Q3" t="s">
        <v>55</v>
      </c>
      <c r="R3" t="s">
        <v>43</v>
      </c>
      <c r="T3">
        <v>0</v>
      </c>
      <c r="V3" t="s">
        <v>54</v>
      </c>
      <c r="W3" t="str">
        <f t="shared" ref="W3:W25" si="1">"  "</f>
        <v xml:space="preserve">  </v>
      </c>
      <c r="Y3" t="str">
        <f>"  "</f>
        <v xml:space="preserve">  </v>
      </c>
      <c r="Z3" t="str">
        <f>"1-"</f>
        <v>1-</v>
      </c>
      <c r="AA3" t="str">
        <f>"  "</f>
        <v xml:space="preserve">  </v>
      </c>
      <c r="AB3" t="str">
        <f>"  "</f>
        <v xml:space="preserve">  </v>
      </c>
      <c r="AC3" t="str">
        <f>"  "</f>
        <v xml:space="preserve">  </v>
      </c>
      <c r="AD3" t="str">
        <f>"  "</f>
        <v xml:space="preserve">  </v>
      </c>
      <c r="AE3" t="str">
        <f>"  "</f>
        <v xml:space="preserve">  </v>
      </c>
      <c r="AG3" t="str">
        <f>""</f>
        <v/>
      </c>
      <c r="AH3" t="str">
        <f>""</f>
        <v/>
      </c>
      <c r="AI3" t="str">
        <f>""</f>
        <v/>
      </c>
      <c r="AJ3" t="str">
        <f>""</f>
        <v/>
      </c>
      <c r="AK3" t="str">
        <f>""</f>
        <v/>
      </c>
      <c r="AL3" t="str">
        <f>""</f>
        <v/>
      </c>
      <c r="AM3" t="str">
        <f>""</f>
        <v/>
      </c>
      <c r="AN3" t="str">
        <f>""</f>
        <v/>
      </c>
      <c r="AO3" t="str">
        <f>""</f>
        <v/>
      </c>
      <c r="AP3" t="str">
        <f>""</f>
        <v/>
      </c>
    </row>
    <row r="4" spans="1:42" x14ac:dyDescent="0.35">
      <c r="A4">
        <v>2</v>
      </c>
      <c r="B4" t="str">
        <f t="shared" si="0"/>
        <v>208515947798995670</v>
      </c>
      <c r="C4">
        <v>23103959732</v>
      </c>
      <c r="D4" t="s">
        <v>43</v>
      </c>
      <c r="E4" t="s">
        <v>44</v>
      </c>
      <c r="F4" t="s">
        <v>45</v>
      </c>
      <c r="G4" t="s">
        <v>46</v>
      </c>
      <c r="H4" t="s">
        <v>47</v>
      </c>
      <c r="I4" t="s">
        <v>48</v>
      </c>
      <c r="J4" t="s">
        <v>56</v>
      </c>
      <c r="K4" t="s">
        <v>57</v>
      </c>
      <c r="L4" t="s">
        <v>58</v>
      </c>
      <c r="M4" t="s">
        <v>59</v>
      </c>
      <c r="N4" t="s">
        <v>54</v>
      </c>
      <c r="O4" t="s">
        <v>53</v>
      </c>
      <c r="P4" t="s">
        <v>53</v>
      </c>
      <c r="Q4" t="s">
        <v>60</v>
      </c>
      <c r="R4" t="s">
        <v>43</v>
      </c>
      <c r="S4" t="s">
        <v>61</v>
      </c>
      <c r="T4">
        <v>333675</v>
      </c>
      <c r="U4">
        <v>0</v>
      </c>
      <c r="V4" t="s">
        <v>54</v>
      </c>
      <c r="W4" t="str">
        <f t="shared" si="1"/>
        <v xml:space="preserve">  </v>
      </c>
      <c r="Y4" t="str">
        <f>"Mt Vernon"</f>
        <v>Mt Vernon</v>
      </c>
      <c r="Z4" t="str">
        <f>"1-9144478460"</f>
        <v>1-9144478460</v>
      </c>
      <c r="AA4" t="str">
        <f>"30 North MacQuesten Pwy"</f>
        <v>30 North MacQuesten Pwy</v>
      </c>
      <c r="AB4" t="str">
        <f t="shared" ref="AB4:AB13" si="2">"  "</f>
        <v xml:space="preserve">  </v>
      </c>
      <c r="AC4" t="str">
        <f>"Mt Vernon"</f>
        <v>Mt Vernon</v>
      </c>
      <c r="AD4" t="str">
        <f>"New York"</f>
        <v>New York</v>
      </c>
      <c r="AE4" t="str">
        <f>"10550"</f>
        <v>10550</v>
      </c>
      <c r="AF4" t="s">
        <v>62</v>
      </c>
      <c r="AG4" t="str">
        <f>"Plumbing/Mech/GC"</f>
        <v>Plumbing/Mech/GC</v>
      </c>
      <c r="AH4" t="str">
        <f>"Insulation, Paving, Abatement, Electrical"</f>
        <v>Insulation, Paving, Abatement, Electrical</v>
      </c>
      <c r="AI4" t="str">
        <f>"TBD"</f>
        <v>TBD</v>
      </c>
      <c r="AJ4" t="str">
        <f>"TBD"</f>
        <v>TBD</v>
      </c>
      <c r="AK4" t="str">
        <f t="shared" ref="AK4:AM5" si="3">"No"</f>
        <v>No</v>
      </c>
      <c r="AL4" t="str">
        <f t="shared" si="3"/>
        <v>No</v>
      </c>
      <c r="AM4" t="str">
        <f t="shared" si="3"/>
        <v>No</v>
      </c>
      <c r="AN4" t="str">
        <f>"Yes"</f>
        <v>Yes</v>
      </c>
      <c r="AO4" t="str">
        <f>"Yes"</f>
        <v>Yes</v>
      </c>
      <c r="AP4" t="str">
        <f>"Yes"</f>
        <v>Yes</v>
      </c>
    </row>
    <row r="5" spans="1:42" x14ac:dyDescent="0.35">
      <c r="A5">
        <v>3</v>
      </c>
      <c r="B5" t="str">
        <f t="shared" si="0"/>
        <v>208515947798995670</v>
      </c>
      <c r="C5">
        <v>23103959732</v>
      </c>
      <c r="D5" t="s">
        <v>43</v>
      </c>
      <c r="E5" t="s">
        <v>44</v>
      </c>
      <c r="F5" t="s">
        <v>45</v>
      </c>
      <c r="G5" t="s">
        <v>46</v>
      </c>
      <c r="H5" t="s">
        <v>47</v>
      </c>
      <c r="I5" t="s">
        <v>48</v>
      </c>
      <c r="J5" t="s">
        <v>56</v>
      </c>
      <c r="K5" t="s">
        <v>63</v>
      </c>
      <c r="L5" t="s">
        <v>64</v>
      </c>
      <c r="M5" t="s">
        <v>65</v>
      </c>
      <c r="N5" t="s">
        <v>54</v>
      </c>
      <c r="O5" t="s">
        <v>53</v>
      </c>
      <c r="P5" t="s">
        <v>53</v>
      </c>
      <c r="Q5" t="s">
        <v>60</v>
      </c>
      <c r="R5" t="s">
        <v>43</v>
      </c>
      <c r="S5" t="s">
        <v>66</v>
      </c>
      <c r="T5">
        <v>710593</v>
      </c>
      <c r="U5">
        <v>0</v>
      </c>
      <c r="V5" t="s">
        <v>54</v>
      </c>
      <c r="W5" t="str">
        <f t="shared" si="1"/>
        <v xml:space="preserve">  </v>
      </c>
      <c r="Y5" t="str">
        <f>"Richards Plumbing and Heating Co., Inc."</f>
        <v>Richards Plumbing and Heating Co., Inc.</v>
      </c>
      <c r="Z5" t="str">
        <f>"1-7183839900"</f>
        <v>1-7183839900</v>
      </c>
      <c r="AA5" t="str">
        <f>"231 Kent Street"</f>
        <v>231 Kent Street</v>
      </c>
      <c r="AB5" t="str">
        <f t="shared" si="2"/>
        <v xml:space="preserve">  </v>
      </c>
      <c r="AC5" t="str">
        <f>"Brooklyn"</f>
        <v>Brooklyn</v>
      </c>
      <c r="AD5" t="str">
        <f>"new york"</f>
        <v>new york</v>
      </c>
      <c r="AE5" t="str">
        <f>"11222"</f>
        <v>11222</v>
      </c>
      <c r="AF5" t="s">
        <v>62</v>
      </c>
      <c r="AG5" t="str">
        <f>"Plumbing"</f>
        <v>Plumbing</v>
      </c>
      <c r="AH5" t="str">
        <f>"Plumbing, Mechanical and HVAC"</f>
        <v>Plumbing, Mechanical and HVAC</v>
      </c>
      <c r="AI5" t="str">
        <f>"50,000,000.00"</f>
        <v>50,000,000.00</v>
      </c>
      <c r="AJ5" t="str">
        <f>"100,000,000.00"</f>
        <v>100,000,000.00</v>
      </c>
      <c r="AK5" t="str">
        <f t="shared" si="3"/>
        <v>No</v>
      </c>
      <c r="AL5" t="str">
        <f t="shared" si="3"/>
        <v>No</v>
      </c>
      <c r="AM5" t="str">
        <f t="shared" si="3"/>
        <v>No</v>
      </c>
      <c r="AN5" t="str">
        <f>"No"</f>
        <v>No</v>
      </c>
      <c r="AO5" t="str">
        <f>"Yes"</f>
        <v>Yes</v>
      </c>
      <c r="AP5" t="str">
        <f>"Yes"</f>
        <v>Yes</v>
      </c>
    </row>
    <row r="6" spans="1:42" x14ac:dyDescent="0.35">
      <c r="A6">
        <v>4</v>
      </c>
      <c r="B6" t="str">
        <f t="shared" si="0"/>
        <v>208515947798995670</v>
      </c>
      <c r="C6">
        <v>23103959732</v>
      </c>
      <c r="D6" t="s">
        <v>43</v>
      </c>
      <c r="E6" t="s">
        <v>44</v>
      </c>
      <c r="F6" t="s">
        <v>45</v>
      </c>
      <c r="G6" t="s">
        <v>46</v>
      </c>
      <c r="H6" t="s">
        <v>47</v>
      </c>
      <c r="I6" t="s">
        <v>48</v>
      </c>
      <c r="J6" t="s">
        <v>56</v>
      </c>
      <c r="K6" t="s">
        <v>67</v>
      </c>
      <c r="L6" t="s">
        <v>68</v>
      </c>
      <c r="M6" t="s">
        <v>69</v>
      </c>
      <c r="N6" t="s">
        <v>54</v>
      </c>
      <c r="O6" t="s">
        <v>53</v>
      </c>
      <c r="P6" t="s">
        <v>53</v>
      </c>
      <c r="Q6" t="s">
        <v>70</v>
      </c>
      <c r="R6" t="s">
        <v>43</v>
      </c>
      <c r="S6" t="s">
        <v>71</v>
      </c>
      <c r="T6">
        <v>526201</v>
      </c>
      <c r="U6">
        <v>0</v>
      </c>
      <c r="V6" t="s">
        <v>54</v>
      </c>
      <c r="W6" t="str">
        <f t="shared" si="1"/>
        <v xml:space="preserve">  </v>
      </c>
      <c r="Y6" t="str">
        <f>"FYAHWORKSINC"</f>
        <v>FYAHWORKSINC</v>
      </c>
      <c r="Z6" t="str">
        <f>"1-3474404458"</f>
        <v>1-3474404458</v>
      </c>
      <c r="AA6" t="str">
        <f>"187-16 ridgedale st"</f>
        <v>187-16 ridgedale st</v>
      </c>
      <c r="AB6" t="str">
        <f t="shared" si="2"/>
        <v xml:space="preserve">  </v>
      </c>
      <c r="AC6" t="str">
        <f>"Jamaica"</f>
        <v>Jamaica</v>
      </c>
      <c r="AD6" t="str">
        <f>"NY"</f>
        <v>NY</v>
      </c>
      <c r="AE6" t="str">
        <f>"11413"</f>
        <v>11413</v>
      </c>
      <c r="AF6" t="s">
        <v>62</v>
      </c>
      <c r="AG6" t="str">
        <f>"Plumbing insulation"</f>
        <v>Plumbing insulation</v>
      </c>
      <c r="AH6" t="str">
        <f>"Plumbing joc"</f>
        <v>Plumbing joc</v>
      </c>
      <c r="AI6" t="str">
        <f>"0"</f>
        <v>0</v>
      </c>
      <c r="AJ6" t="str">
        <f>"100000"</f>
        <v>100000</v>
      </c>
      <c r="AK6" t="str">
        <f t="shared" ref="AK6:AL8" si="4">"No"</f>
        <v>No</v>
      </c>
      <c r="AL6" t="str">
        <f t="shared" si="4"/>
        <v>No</v>
      </c>
      <c r="AM6" t="str">
        <f>"Yes"</f>
        <v>Yes</v>
      </c>
      <c r="AN6" t="str">
        <f>"No"</f>
        <v>No</v>
      </c>
      <c r="AO6" t="str">
        <f>"Yes"</f>
        <v>Yes</v>
      </c>
      <c r="AP6" t="str">
        <f>"No"</f>
        <v>No</v>
      </c>
    </row>
    <row r="7" spans="1:42" x14ac:dyDescent="0.35">
      <c r="A7">
        <v>5</v>
      </c>
      <c r="B7" t="str">
        <f t="shared" si="0"/>
        <v>208515947798995670</v>
      </c>
      <c r="C7">
        <v>23103959732</v>
      </c>
      <c r="D7" t="s">
        <v>43</v>
      </c>
      <c r="E7" t="s">
        <v>44</v>
      </c>
      <c r="F7" t="s">
        <v>45</v>
      </c>
      <c r="G7" t="s">
        <v>46</v>
      </c>
      <c r="H7" t="s">
        <v>47</v>
      </c>
      <c r="I7" t="s">
        <v>48</v>
      </c>
      <c r="J7" t="s">
        <v>56</v>
      </c>
      <c r="K7" t="s">
        <v>72</v>
      </c>
      <c r="L7" t="s">
        <v>73</v>
      </c>
      <c r="M7" t="s">
        <v>74</v>
      </c>
      <c r="N7" t="s">
        <v>54</v>
      </c>
      <c r="O7" t="s">
        <v>53</v>
      </c>
      <c r="P7" t="s">
        <v>53</v>
      </c>
      <c r="Q7" t="s">
        <v>75</v>
      </c>
      <c r="R7" t="s">
        <v>43</v>
      </c>
      <c r="S7" t="s">
        <v>76</v>
      </c>
      <c r="T7">
        <v>588733</v>
      </c>
      <c r="U7">
        <v>0</v>
      </c>
      <c r="V7" t="s">
        <v>54</v>
      </c>
      <c r="W7" t="str">
        <f t="shared" si="1"/>
        <v xml:space="preserve">  </v>
      </c>
      <c r="Y7" t="str">
        <f>"WOODSIDE"</f>
        <v>WOODSIDE</v>
      </c>
      <c r="Z7" t="str">
        <f>"1-9175625540"</f>
        <v>1-9175625540</v>
      </c>
      <c r="AA7" t="str">
        <f>"62-43 30TH AVENUE"</f>
        <v>62-43 30TH AVENUE</v>
      </c>
      <c r="AB7" t="str">
        <f t="shared" si="2"/>
        <v xml:space="preserve">  </v>
      </c>
      <c r="AC7" t="str">
        <f>"WOODSIDE"</f>
        <v>WOODSIDE</v>
      </c>
      <c r="AD7" t="str">
        <f>"NY"</f>
        <v>NY</v>
      </c>
      <c r="AE7" t="str">
        <f>"11377"</f>
        <v>11377</v>
      </c>
      <c r="AF7" t="s">
        <v>62</v>
      </c>
      <c r="AG7" t="str">
        <f>"Plumbing"</f>
        <v>Plumbing</v>
      </c>
      <c r="AH7" t="str">
        <f>"Plumbing"</f>
        <v>Plumbing</v>
      </c>
      <c r="AI7" t="str">
        <f>"20,000,000"</f>
        <v>20,000,000</v>
      </c>
      <c r="AJ7" t="str">
        <f>"40,000,000"</f>
        <v>40,000,000</v>
      </c>
      <c r="AK7" t="str">
        <f t="shared" si="4"/>
        <v>No</v>
      </c>
      <c r="AL7" t="str">
        <f t="shared" si="4"/>
        <v>No</v>
      </c>
      <c r="AM7" t="str">
        <f>"No"</f>
        <v>No</v>
      </c>
      <c r="AN7" t="str">
        <f>"No"</f>
        <v>No</v>
      </c>
      <c r="AO7" t="str">
        <f>"Yes"</f>
        <v>Yes</v>
      </c>
      <c r="AP7" t="str">
        <f>"Yes"</f>
        <v>Yes</v>
      </c>
    </row>
    <row r="8" spans="1:42" x14ac:dyDescent="0.35">
      <c r="A8">
        <v>6</v>
      </c>
      <c r="B8" t="str">
        <f t="shared" si="0"/>
        <v>208515947798995670</v>
      </c>
      <c r="C8">
        <v>23103959732</v>
      </c>
      <c r="D8" t="s">
        <v>43</v>
      </c>
      <c r="E8" t="s">
        <v>44</v>
      </c>
      <c r="F8" t="s">
        <v>45</v>
      </c>
      <c r="G8" t="s">
        <v>46</v>
      </c>
      <c r="H8" t="s">
        <v>47</v>
      </c>
      <c r="I8" t="s">
        <v>48</v>
      </c>
      <c r="J8" t="s">
        <v>56</v>
      </c>
      <c r="K8" t="s">
        <v>77</v>
      </c>
      <c r="L8" t="s">
        <v>78</v>
      </c>
      <c r="M8" t="s">
        <v>79</v>
      </c>
      <c r="N8" t="s">
        <v>54</v>
      </c>
      <c r="O8" t="s">
        <v>53</v>
      </c>
      <c r="P8" t="s">
        <v>53</v>
      </c>
      <c r="Q8" t="s">
        <v>80</v>
      </c>
      <c r="R8" t="s">
        <v>43</v>
      </c>
      <c r="S8" t="s">
        <v>81</v>
      </c>
      <c r="T8">
        <v>843784</v>
      </c>
      <c r="U8">
        <v>0</v>
      </c>
      <c r="V8" t="s">
        <v>54</v>
      </c>
      <c r="W8" t="str">
        <f t="shared" si="1"/>
        <v xml:space="preserve">  </v>
      </c>
      <c r="Y8" t="str">
        <f>"WDF INc."</f>
        <v>WDF INc.</v>
      </c>
      <c r="Z8" t="str">
        <f>"1-9147768185"</f>
        <v>1-9147768185</v>
      </c>
      <c r="AA8" t="str">
        <f>"30 North MacQuesten Parkway"</f>
        <v>30 North MacQuesten Parkway</v>
      </c>
      <c r="AB8" t="str">
        <f t="shared" si="2"/>
        <v xml:space="preserve">  </v>
      </c>
      <c r="AC8" t="str">
        <f>"Mount Vernon"</f>
        <v>Mount Vernon</v>
      </c>
      <c r="AD8" t="str">
        <f>"ny"</f>
        <v>ny</v>
      </c>
      <c r="AE8" t="str">
        <f>"10550"</f>
        <v>10550</v>
      </c>
      <c r="AF8" t="s">
        <v>62</v>
      </c>
      <c r="AG8" t="str">
        <f>"GC, PL, JV"</f>
        <v>GC, PL, JV</v>
      </c>
      <c r="AH8" t="str">
        <f>"Bidding the plumbing JOC Bid"</f>
        <v>Bidding the plumbing JOC Bid</v>
      </c>
      <c r="AI8" t="str">
        <f>"$6,000,000"</f>
        <v>$6,000,000</v>
      </c>
      <c r="AJ8" t="str">
        <f>"6,000,000,000"</f>
        <v>6,000,000,000</v>
      </c>
      <c r="AK8" t="str">
        <f t="shared" si="4"/>
        <v>No</v>
      </c>
      <c r="AL8" t="str">
        <f t="shared" si="4"/>
        <v>No</v>
      </c>
      <c r="AM8" t="str">
        <f>"No"</f>
        <v>No</v>
      </c>
      <c r="AN8" t="str">
        <f>"No"</f>
        <v>No</v>
      </c>
      <c r="AO8" t="str">
        <f>"Yes"</f>
        <v>Yes</v>
      </c>
      <c r="AP8" t="str">
        <f>"Yes"</f>
        <v>Yes</v>
      </c>
    </row>
    <row r="9" spans="1:42" x14ac:dyDescent="0.35">
      <c r="A9">
        <v>7</v>
      </c>
      <c r="B9" t="str">
        <f t="shared" si="0"/>
        <v>208515947798995670</v>
      </c>
      <c r="C9">
        <v>23103959732</v>
      </c>
      <c r="D9" t="s">
        <v>43</v>
      </c>
      <c r="E9" t="s">
        <v>44</v>
      </c>
      <c r="F9" t="s">
        <v>45</v>
      </c>
      <c r="G9" t="s">
        <v>46</v>
      </c>
      <c r="H9" t="s">
        <v>47</v>
      </c>
      <c r="I9" t="s">
        <v>48</v>
      </c>
      <c r="J9" t="s">
        <v>49</v>
      </c>
      <c r="K9" t="s">
        <v>82</v>
      </c>
      <c r="L9" t="s">
        <v>83</v>
      </c>
      <c r="M9" t="s">
        <v>84</v>
      </c>
      <c r="N9" t="s">
        <v>53</v>
      </c>
      <c r="O9" t="s">
        <v>54</v>
      </c>
      <c r="P9" t="s">
        <v>53</v>
      </c>
      <c r="Q9" t="s">
        <v>85</v>
      </c>
      <c r="R9" t="s">
        <v>43</v>
      </c>
      <c r="T9">
        <v>0</v>
      </c>
      <c r="V9" t="s">
        <v>54</v>
      </c>
      <c r="W9" t="str">
        <f t="shared" si="1"/>
        <v xml:space="preserve">  </v>
      </c>
      <c r="Y9" t="str">
        <f>"  "</f>
        <v xml:space="preserve">  </v>
      </c>
      <c r="Z9" t="str">
        <f>"1-"</f>
        <v>1-</v>
      </c>
      <c r="AA9" t="str">
        <f>"  "</f>
        <v xml:space="preserve">  </v>
      </c>
      <c r="AB9" t="str">
        <f t="shared" si="2"/>
        <v xml:space="preserve">  </v>
      </c>
      <c r="AC9" t="str">
        <f>"  "</f>
        <v xml:space="preserve">  </v>
      </c>
      <c r="AD9" t="str">
        <f>"  "</f>
        <v xml:space="preserve">  </v>
      </c>
      <c r="AE9" t="str">
        <f>"  "</f>
        <v xml:space="preserve">  </v>
      </c>
      <c r="AG9" t="str">
        <f>""</f>
        <v/>
      </c>
      <c r="AH9" t="str">
        <f>""</f>
        <v/>
      </c>
      <c r="AI9" t="str">
        <f>""</f>
        <v/>
      </c>
      <c r="AJ9" t="str">
        <f>""</f>
        <v/>
      </c>
      <c r="AK9" t="str">
        <f>""</f>
        <v/>
      </c>
      <c r="AL9" t="str">
        <f>""</f>
        <v/>
      </c>
      <c r="AM9" t="str">
        <f>""</f>
        <v/>
      </c>
      <c r="AN9" t="str">
        <f>""</f>
        <v/>
      </c>
      <c r="AO9" t="str">
        <f>""</f>
        <v/>
      </c>
      <c r="AP9" t="str">
        <f>""</f>
        <v/>
      </c>
    </row>
    <row r="10" spans="1:42" x14ac:dyDescent="0.35">
      <c r="A10">
        <v>8</v>
      </c>
      <c r="B10" t="str">
        <f t="shared" si="0"/>
        <v>208515947798995670</v>
      </c>
      <c r="C10">
        <v>23103959732</v>
      </c>
      <c r="D10" t="s">
        <v>43</v>
      </c>
      <c r="E10" t="s">
        <v>44</v>
      </c>
      <c r="F10" t="s">
        <v>45</v>
      </c>
      <c r="G10" t="s">
        <v>46</v>
      </c>
      <c r="H10" t="s">
        <v>47</v>
      </c>
      <c r="I10" t="s">
        <v>48</v>
      </c>
      <c r="J10" t="s">
        <v>56</v>
      </c>
      <c r="K10" t="s">
        <v>86</v>
      </c>
      <c r="L10" t="s">
        <v>87</v>
      </c>
      <c r="M10" t="s">
        <v>88</v>
      </c>
      <c r="N10" t="s">
        <v>54</v>
      </c>
      <c r="O10" t="s">
        <v>53</v>
      </c>
      <c r="P10" t="s">
        <v>53</v>
      </c>
      <c r="Q10" t="s">
        <v>89</v>
      </c>
      <c r="R10" t="s">
        <v>43</v>
      </c>
      <c r="S10" t="s">
        <v>90</v>
      </c>
      <c r="T10">
        <v>821304</v>
      </c>
      <c r="U10">
        <v>0</v>
      </c>
      <c r="V10" t="s">
        <v>54</v>
      </c>
      <c r="W10" t="str">
        <f t="shared" si="1"/>
        <v xml:space="preserve">  </v>
      </c>
      <c r="Y10" t="str">
        <f>"Richards Plumbing and Heating Co., Inc."</f>
        <v>Richards Plumbing and Heating Co., Inc.</v>
      </c>
      <c r="Z10" t="str">
        <f>"1-7183839900"</f>
        <v>1-7183839900</v>
      </c>
      <c r="AA10" t="str">
        <f>"231 Kent Street"</f>
        <v>231 Kent Street</v>
      </c>
      <c r="AB10" t="str">
        <f t="shared" si="2"/>
        <v xml:space="preserve">  </v>
      </c>
      <c r="AC10" t="str">
        <f>"Brooklyn"</f>
        <v>Brooklyn</v>
      </c>
      <c r="AD10" t="str">
        <f>"New Yrok"</f>
        <v>New Yrok</v>
      </c>
      <c r="AE10" t="str">
        <f>"11222"</f>
        <v>11222</v>
      </c>
      <c r="AF10" t="s">
        <v>62</v>
      </c>
      <c r="AG10" t="str">
        <f>"Plumbing/Fire Protection/Mechanical Piping"</f>
        <v>Plumbing/Fire Protection/Mechanical Piping</v>
      </c>
      <c r="AH10" t="str">
        <f>"Plumbing"</f>
        <v>Plumbing</v>
      </c>
      <c r="AI10" t="str">
        <f>"50,000,000"</f>
        <v>50,000,000</v>
      </c>
      <c r="AJ10" t="str">
        <f>"100,000,000"</f>
        <v>100,000,000</v>
      </c>
      <c r="AK10" t="str">
        <f t="shared" ref="AK10:AM14" si="5">"No"</f>
        <v>No</v>
      </c>
      <c r="AL10" t="str">
        <f t="shared" si="5"/>
        <v>No</v>
      </c>
      <c r="AM10" t="str">
        <f t="shared" si="5"/>
        <v>No</v>
      </c>
      <c r="AN10" t="str">
        <f>"Yes"</f>
        <v>Yes</v>
      </c>
      <c r="AO10" t="str">
        <f>"Yes"</f>
        <v>Yes</v>
      </c>
      <c r="AP10" t="str">
        <f>"Yes"</f>
        <v>Yes</v>
      </c>
    </row>
    <row r="11" spans="1:42" x14ac:dyDescent="0.35">
      <c r="A11">
        <v>9</v>
      </c>
      <c r="B11" t="str">
        <f t="shared" si="0"/>
        <v>208515947798995670</v>
      </c>
      <c r="C11">
        <v>23103959732</v>
      </c>
      <c r="D11" t="s">
        <v>43</v>
      </c>
      <c r="E11" t="s">
        <v>44</v>
      </c>
      <c r="F11" t="s">
        <v>45</v>
      </c>
      <c r="G11" t="s">
        <v>46</v>
      </c>
      <c r="H11" t="s">
        <v>47</v>
      </c>
      <c r="I11" t="s">
        <v>48</v>
      </c>
      <c r="J11" t="s">
        <v>56</v>
      </c>
      <c r="K11" t="s">
        <v>91</v>
      </c>
      <c r="L11" t="s">
        <v>87</v>
      </c>
      <c r="M11" t="s">
        <v>92</v>
      </c>
      <c r="N11" t="s">
        <v>54</v>
      </c>
      <c r="O11" t="s">
        <v>53</v>
      </c>
      <c r="P11" t="s">
        <v>53</v>
      </c>
      <c r="Q11" t="s">
        <v>80</v>
      </c>
      <c r="R11" t="s">
        <v>43</v>
      </c>
      <c r="S11" t="s">
        <v>93</v>
      </c>
      <c r="T11">
        <v>737278</v>
      </c>
      <c r="U11">
        <v>0</v>
      </c>
      <c r="V11" t="s">
        <v>54</v>
      </c>
      <c r="W11" t="str">
        <f t="shared" si="1"/>
        <v xml:space="preserve">  </v>
      </c>
      <c r="Y11" t="str">
        <f>"Richards Plumbing and Heating Co., Inc."</f>
        <v>Richards Plumbing and Heating Co., Inc.</v>
      </c>
      <c r="Z11" t="str">
        <f>"1-7183839900"</f>
        <v>1-7183839900</v>
      </c>
      <c r="AA11" t="str">
        <f>"231 Kent St"</f>
        <v>231 Kent St</v>
      </c>
      <c r="AB11" t="str">
        <f t="shared" si="2"/>
        <v xml:space="preserve">  </v>
      </c>
      <c r="AC11" t="str">
        <f>"Brooklyn"</f>
        <v>Brooklyn</v>
      </c>
      <c r="AD11" t="str">
        <f>"NY"</f>
        <v>NY</v>
      </c>
      <c r="AE11" t="str">
        <f>"11222"</f>
        <v>11222</v>
      </c>
      <c r="AF11" t="s">
        <v>62</v>
      </c>
      <c r="AG11" t="str">
        <f>"Plumbing, Mechanical, Fire Protection"</f>
        <v>Plumbing, Mechanical, Fire Protection</v>
      </c>
      <c r="AH11" t="str">
        <f>"Plumbing, Mechanical, Fire Protection"</f>
        <v>Plumbing, Mechanical, Fire Protection</v>
      </c>
      <c r="AI11" t="str">
        <f>"50M"</f>
        <v>50M</v>
      </c>
      <c r="AJ11" t="str">
        <f>"100M"</f>
        <v>100M</v>
      </c>
      <c r="AK11" t="str">
        <f t="shared" si="5"/>
        <v>No</v>
      </c>
      <c r="AL11" t="str">
        <f t="shared" si="5"/>
        <v>No</v>
      </c>
      <c r="AM11" t="str">
        <f t="shared" si="5"/>
        <v>No</v>
      </c>
      <c r="AN11" t="str">
        <f>"No"</f>
        <v>No</v>
      </c>
      <c r="AO11" t="str">
        <f t="shared" ref="AO11:AP14" si="6">"Yes"</f>
        <v>Yes</v>
      </c>
      <c r="AP11" t="str">
        <f t="shared" si="6"/>
        <v>Yes</v>
      </c>
    </row>
    <row r="12" spans="1:42" x14ac:dyDescent="0.35">
      <c r="A12">
        <v>10</v>
      </c>
      <c r="B12" t="str">
        <f t="shared" si="0"/>
        <v>208515947798995670</v>
      </c>
      <c r="C12">
        <v>23103959732</v>
      </c>
      <c r="D12" t="s">
        <v>43</v>
      </c>
      <c r="E12" t="s">
        <v>44</v>
      </c>
      <c r="F12" t="s">
        <v>45</v>
      </c>
      <c r="G12" t="s">
        <v>46</v>
      </c>
      <c r="H12" t="s">
        <v>47</v>
      </c>
      <c r="I12" t="s">
        <v>48</v>
      </c>
      <c r="J12" t="s">
        <v>56</v>
      </c>
      <c r="K12" t="s">
        <v>94</v>
      </c>
      <c r="L12" t="s">
        <v>95</v>
      </c>
      <c r="M12" t="s">
        <v>96</v>
      </c>
      <c r="N12" t="s">
        <v>54</v>
      </c>
      <c r="O12" t="s">
        <v>53</v>
      </c>
      <c r="P12" t="s">
        <v>53</v>
      </c>
      <c r="Q12" t="s">
        <v>97</v>
      </c>
      <c r="R12" t="s">
        <v>43</v>
      </c>
      <c r="S12" t="s">
        <v>98</v>
      </c>
      <c r="T12">
        <v>788510</v>
      </c>
      <c r="U12">
        <v>0</v>
      </c>
      <c r="V12" t="s">
        <v>54</v>
      </c>
      <c r="W12" t="str">
        <f t="shared" si="1"/>
        <v xml:space="preserve">  </v>
      </c>
      <c r="Y12" t="str">
        <f>"Brooklyn, NY"</f>
        <v>Brooklyn, NY</v>
      </c>
      <c r="Z12" t="str">
        <f>"1-7183839900"</f>
        <v>1-7183839900</v>
      </c>
      <c r="AA12" t="str">
        <f>"231 Kent Street"</f>
        <v>231 Kent Street</v>
      </c>
      <c r="AB12" t="str">
        <f t="shared" si="2"/>
        <v xml:space="preserve">  </v>
      </c>
      <c r="AC12" t="str">
        <f>"Brooklyn, NY"</f>
        <v>Brooklyn, NY</v>
      </c>
      <c r="AD12" t="str">
        <f>"NY"</f>
        <v>NY</v>
      </c>
      <c r="AE12" t="str">
        <f>"11222"</f>
        <v>11222</v>
      </c>
      <c r="AF12" t="s">
        <v>62</v>
      </c>
      <c r="AG12" t="str">
        <f>"Plumbing and Heating"</f>
        <v>Plumbing and Heating</v>
      </c>
      <c r="AH12" t="str">
        <f>"Plumbing"</f>
        <v>Plumbing</v>
      </c>
      <c r="AI12" t="str">
        <f>"$15,000,000"</f>
        <v>$15,000,000</v>
      </c>
      <c r="AJ12" t="str">
        <f>"$100,000,000"</f>
        <v>$100,000,000</v>
      </c>
      <c r="AK12" t="str">
        <f t="shared" si="5"/>
        <v>No</v>
      </c>
      <c r="AL12" t="str">
        <f t="shared" si="5"/>
        <v>No</v>
      </c>
      <c r="AM12" t="str">
        <f t="shared" si="5"/>
        <v>No</v>
      </c>
      <c r="AN12" t="str">
        <f>"No"</f>
        <v>No</v>
      </c>
      <c r="AO12" t="str">
        <f t="shared" si="6"/>
        <v>Yes</v>
      </c>
      <c r="AP12" t="str">
        <f t="shared" si="6"/>
        <v>Yes</v>
      </c>
    </row>
    <row r="13" spans="1:42" x14ac:dyDescent="0.35">
      <c r="A13">
        <v>11</v>
      </c>
      <c r="B13" t="str">
        <f t="shared" si="0"/>
        <v>208515947798995670</v>
      </c>
      <c r="C13">
        <v>23103959732</v>
      </c>
      <c r="D13" t="s">
        <v>43</v>
      </c>
      <c r="E13" t="s">
        <v>44</v>
      </c>
      <c r="F13" t="s">
        <v>45</v>
      </c>
      <c r="G13" t="s">
        <v>46</v>
      </c>
      <c r="H13" t="s">
        <v>47</v>
      </c>
      <c r="I13" t="s">
        <v>48</v>
      </c>
      <c r="J13" t="s">
        <v>56</v>
      </c>
      <c r="K13" t="s">
        <v>99</v>
      </c>
      <c r="L13" t="s">
        <v>100</v>
      </c>
      <c r="M13" t="s">
        <v>101</v>
      </c>
      <c r="N13" t="s">
        <v>54</v>
      </c>
      <c r="O13" t="s">
        <v>53</v>
      </c>
      <c r="P13" t="s">
        <v>53</v>
      </c>
      <c r="Q13" t="s">
        <v>102</v>
      </c>
      <c r="R13" t="s">
        <v>43</v>
      </c>
      <c r="S13" t="s">
        <v>103</v>
      </c>
      <c r="T13">
        <v>783873</v>
      </c>
      <c r="U13">
        <v>0</v>
      </c>
      <c r="V13" t="s">
        <v>54</v>
      </c>
      <c r="W13" t="str">
        <f t="shared" si="1"/>
        <v xml:space="preserve">  </v>
      </c>
      <c r="Y13" t="str">
        <f>"Crescent Contracting Corp."</f>
        <v>Crescent Contracting Corp.</v>
      </c>
      <c r="Z13" t="str">
        <f>"1-7182204200"</f>
        <v>1-7182204200</v>
      </c>
      <c r="AA13" t="str">
        <f>"  "</f>
        <v xml:space="preserve">  </v>
      </c>
      <c r="AB13" t="str">
        <f t="shared" si="2"/>
        <v xml:space="preserve">  </v>
      </c>
      <c r="AC13" t="str">
        <f>"Bronx"</f>
        <v>Bronx</v>
      </c>
      <c r="AD13" t="str">
        <f>"New York"</f>
        <v>New York</v>
      </c>
      <c r="AE13" t="str">
        <f>"10458"</f>
        <v>10458</v>
      </c>
      <c r="AF13" t="s">
        <v>62</v>
      </c>
      <c r="AG13" t="str">
        <f>"Plumbing"</f>
        <v>Plumbing</v>
      </c>
      <c r="AH13" t="str">
        <f>"Fire suppression; HVAC; Mechanical"</f>
        <v>Fire suppression; HVAC; Mechanical</v>
      </c>
      <c r="AI13" t="str">
        <f>"20 Million"</f>
        <v>20 Million</v>
      </c>
      <c r="AJ13" t="str">
        <f>"40 Million"</f>
        <v>40 Million</v>
      </c>
      <c r="AK13" t="str">
        <f t="shared" si="5"/>
        <v>No</v>
      </c>
      <c r="AL13" t="str">
        <f t="shared" si="5"/>
        <v>No</v>
      </c>
      <c r="AM13" t="str">
        <f t="shared" si="5"/>
        <v>No</v>
      </c>
      <c r="AN13" t="str">
        <f>"Yes"</f>
        <v>Yes</v>
      </c>
      <c r="AO13" t="str">
        <f t="shared" si="6"/>
        <v>Yes</v>
      </c>
      <c r="AP13" t="str">
        <f t="shared" si="6"/>
        <v>Yes</v>
      </c>
    </row>
    <row r="14" spans="1:42" x14ac:dyDescent="0.35">
      <c r="A14">
        <v>12</v>
      </c>
      <c r="B14" t="str">
        <f t="shared" si="0"/>
        <v>208515947798995670</v>
      </c>
      <c r="C14">
        <v>23103959732</v>
      </c>
      <c r="D14" t="s">
        <v>43</v>
      </c>
      <c r="E14" t="s">
        <v>44</v>
      </c>
      <c r="F14" t="s">
        <v>45</v>
      </c>
      <c r="G14" t="s">
        <v>46</v>
      </c>
      <c r="H14" t="s">
        <v>47</v>
      </c>
      <c r="I14" t="s">
        <v>48</v>
      </c>
      <c r="J14" t="s">
        <v>56</v>
      </c>
      <c r="K14" t="s">
        <v>104</v>
      </c>
      <c r="L14" t="s">
        <v>105</v>
      </c>
      <c r="M14" t="s">
        <v>106</v>
      </c>
      <c r="N14" t="s">
        <v>54</v>
      </c>
      <c r="O14" t="s">
        <v>53</v>
      </c>
      <c r="P14" t="s">
        <v>53</v>
      </c>
      <c r="Q14" t="s">
        <v>107</v>
      </c>
      <c r="R14" t="s">
        <v>43</v>
      </c>
      <c r="S14" t="s">
        <v>108</v>
      </c>
      <c r="T14">
        <v>259580</v>
      </c>
      <c r="U14">
        <v>0</v>
      </c>
      <c r="V14" t="s">
        <v>54</v>
      </c>
      <c r="W14" t="str">
        <f t="shared" si="1"/>
        <v xml:space="preserve">  </v>
      </c>
      <c r="Y14" t="str">
        <f>"Welkin Mechanical LLC"</f>
        <v>Welkin Mechanical LLC</v>
      </c>
      <c r="Z14" t="str">
        <f>"1-7185542800"</f>
        <v>1-7185542800</v>
      </c>
      <c r="AA14" t="str">
        <f>"1010 Northern Blvd"</f>
        <v>1010 Northern Blvd</v>
      </c>
      <c r="AB14" t="str">
        <f>"Suite 204"</f>
        <v>Suite 204</v>
      </c>
      <c r="AC14" t="str">
        <f>"Great Neck"</f>
        <v>Great Neck</v>
      </c>
      <c r="AD14" t="str">
        <f>"NY"</f>
        <v>NY</v>
      </c>
      <c r="AE14" t="str">
        <f>"11021"</f>
        <v>11021</v>
      </c>
      <c r="AF14" t="s">
        <v>62</v>
      </c>
      <c r="AG14" t="str">
        <f>"Plumbing, HVAC, GC"</f>
        <v>Plumbing, HVAC, GC</v>
      </c>
      <c r="AH14" t="str">
        <f>"Plumbing; HVAC"</f>
        <v>Plumbing; HVAC</v>
      </c>
      <c r="AI14" t="str">
        <f>"$250,000,000"</f>
        <v>$250,000,000</v>
      </c>
      <c r="AJ14" t="str">
        <f>"250,000,000"</f>
        <v>250,000,000</v>
      </c>
      <c r="AK14" t="str">
        <f t="shared" si="5"/>
        <v>No</v>
      </c>
      <c r="AL14" t="str">
        <f t="shared" si="5"/>
        <v>No</v>
      </c>
      <c r="AM14" t="str">
        <f t="shared" si="5"/>
        <v>No</v>
      </c>
      <c r="AN14" t="str">
        <f>"No"</f>
        <v>No</v>
      </c>
      <c r="AO14" t="str">
        <f t="shared" si="6"/>
        <v>Yes</v>
      </c>
      <c r="AP14" t="str">
        <f t="shared" si="6"/>
        <v>Yes</v>
      </c>
    </row>
    <row r="15" spans="1:42" x14ac:dyDescent="0.35">
      <c r="A15">
        <v>13</v>
      </c>
      <c r="B15" t="str">
        <f t="shared" si="0"/>
        <v>208515947798995670</v>
      </c>
      <c r="C15">
        <v>23103959732</v>
      </c>
      <c r="D15" t="s">
        <v>43</v>
      </c>
      <c r="E15" t="s">
        <v>44</v>
      </c>
      <c r="F15" t="s">
        <v>45</v>
      </c>
      <c r="G15" t="s">
        <v>46</v>
      </c>
      <c r="H15" t="s">
        <v>47</v>
      </c>
      <c r="I15" t="s">
        <v>48</v>
      </c>
      <c r="J15" t="s">
        <v>56</v>
      </c>
      <c r="K15" t="s">
        <v>109</v>
      </c>
      <c r="L15" t="s">
        <v>110</v>
      </c>
      <c r="M15" t="s">
        <v>111</v>
      </c>
      <c r="N15" t="s">
        <v>54</v>
      </c>
      <c r="O15" t="s">
        <v>54</v>
      </c>
      <c r="P15" t="s">
        <v>53</v>
      </c>
      <c r="Q15" t="s">
        <v>112</v>
      </c>
      <c r="R15" t="s">
        <v>43</v>
      </c>
      <c r="T15">
        <v>0</v>
      </c>
      <c r="V15" t="s">
        <v>54</v>
      </c>
      <c r="W15" t="str">
        <f t="shared" si="1"/>
        <v xml:space="preserve">  </v>
      </c>
      <c r="Y15" t="str">
        <f>"  "</f>
        <v xml:space="preserve">  </v>
      </c>
      <c r="Z15" t="str">
        <f>"1-"</f>
        <v>1-</v>
      </c>
      <c r="AA15" t="str">
        <f>"  "</f>
        <v xml:space="preserve">  </v>
      </c>
      <c r="AB15" t="str">
        <f>"  "</f>
        <v xml:space="preserve">  </v>
      </c>
      <c r="AC15" t="str">
        <f>"  "</f>
        <v xml:space="preserve">  </v>
      </c>
      <c r="AD15" t="str">
        <f>"  "</f>
        <v xml:space="preserve">  </v>
      </c>
      <c r="AE15" t="str">
        <f>"  "</f>
        <v xml:space="preserve">  </v>
      </c>
      <c r="AG15" t="str">
        <f>""</f>
        <v/>
      </c>
      <c r="AH15" t="str">
        <f>""</f>
        <v/>
      </c>
      <c r="AI15" t="str">
        <f>""</f>
        <v/>
      </c>
      <c r="AJ15" t="str">
        <f>""</f>
        <v/>
      </c>
      <c r="AK15" t="str">
        <f>""</f>
        <v/>
      </c>
      <c r="AL15" t="str">
        <f>""</f>
        <v/>
      </c>
      <c r="AM15" t="str">
        <f>""</f>
        <v/>
      </c>
      <c r="AN15" t="str">
        <f>""</f>
        <v/>
      </c>
      <c r="AO15" t="str">
        <f>""</f>
        <v/>
      </c>
      <c r="AP15" t="str">
        <f>""</f>
        <v/>
      </c>
    </row>
    <row r="16" spans="1:42" x14ac:dyDescent="0.35">
      <c r="A16">
        <v>14</v>
      </c>
      <c r="B16" t="str">
        <f t="shared" si="0"/>
        <v>208515947798995670</v>
      </c>
      <c r="C16">
        <v>23103959732</v>
      </c>
      <c r="D16" t="s">
        <v>43</v>
      </c>
      <c r="E16" t="s">
        <v>44</v>
      </c>
      <c r="F16" t="s">
        <v>45</v>
      </c>
      <c r="G16" t="s">
        <v>46</v>
      </c>
      <c r="H16" t="s">
        <v>47</v>
      </c>
      <c r="I16" t="s">
        <v>48</v>
      </c>
      <c r="J16" t="s">
        <v>56</v>
      </c>
      <c r="K16" t="s">
        <v>113</v>
      </c>
      <c r="L16" t="s">
        <v>114</v>
      </c>
      <c r="M16" t="s">
        <v>115</v>
      </c>
      <c r="N16" t="s">
        <v>54</v>
      </c>
      <c r="O16" t="s">
        <v>53</v>
      </c>
      <c r="P16" t="s">
        <v>53</v>
      </c>
      <c r="Q16" t="s">
        <v>116</v>
      </c>
      <c r="R16" t="s">
        <v>43</v>
      </c>
      <c r="S16" t="s">
        <v>117</v>
      </c>
      <c r="T16">
        <v>514344</v>
      </c>
      <c r="U16">
        <v>0</v>
      </c>
      <c r="V16" t="s">
        <v>54</v>
      </c>
      <c r="W16" t="str">
        <f t="shared" si="1"/>
        <v xml:space="preserve">  </v>
      </c>
      <c r="Y16" t="str">
        <f>"Maverick Construction Companies"</f>
        <v>Maverick Construction Companies</v>
      </c>
      <c r="Z16" t="str">
        <f>"1-7185035243"</f>
        <v>1-7185035243</v>
      </c>
      <c r="AA16" t="str">
        <f>"1231 Lafayette ave"</f>
        <v>1231 Lafayette ave</v>
      </c>
      <c r="AB16" t="str">
        <f>"2nd floor"</f>
        <v>2nd floor</v>
      </c>
      <c r="AC16" t="str">
        <f>"bronx"</f>
        <v>bronx</v>
      </c>
      <c r="AD16" t="str">
        <f>"ny"</f>
        <v>ny</v>
      </c>
      <c r="AE16" t="str">
        <f>"10474"</f>
        <v>10474</v>
      </c>
      <c r="AF16" t="s">
        <v>62</v>
      </c>
      <c r="AG16" t="str">
        <f>"plumbing, electrical and HVAC"</f>
        <v>plumbing, electrical and HVAC</v>
      </c>
      <c r="AH16" t="str">
        <f>"plumbing"</f>
        <v>plumbing</v>
      </c>
      <c r="AI16" t="str">
        <f>"10 million"</f>
        <v>10 million</v>
      </c>
      <c r="AJ16" t="str">
        <f>"10 million"</f>
        <v>10 million</v>
      </c>
      <c r="AK16" t="str">
        <f>"No"</f>
        <v>No</v>
      </c>
      <c r="AL16" t="str">
        <f>"No"</f>
        <v>No</v>
      </c>
      <c r="AM16" t="str">
        <f>"Yes"</f>
        <v>Yes</v>
      </c>
      <c r="AN16" t="str">
        <f>"No"</f>
        <v>No</v>
      </c>
      <c r="AO16" t="str">
        <f>"No"</f>
        <v>No</v>
      </c>
      <c r="AP16" t="str">
        <f>"No"</f>
        <v>No</v>
      </c>
    </row>
    <row r="17" spans="1:42" x14ac:dyDescent="0.35">
      <c r="A17">
        <v>15</v>
      </c>
      <c r="B17" t="str">
        <f t="shared" si="0"/>
        <v>208515947798995670</v>
      </c>
      <c r="C17">
        <v>23103959732</v>
      </c>
      <c r="D17" t="s">
        <v>43</v>
      </c>
      <c r="E17" t="s">
        <v>44</v>
      </c>
      <c r="F17" t="s">
        <v>45</v>
      </c>
      <c r="G17" t="s">
        <v>46</v>
      </c>
      <c r="H17" t="s">
        <v>47</v>
      </c>
      <c r="I17" t="s">
        <v>48</v>
      </c>
      <c r="J17" t="s">
        <v>49</v>
      </c>
      <c r="K17" t="s">
        <v>118</v>
      </c>
      <c r="L17" t="s">
        <v>119</v>
      </c>
      <c r="M17" t="s">
        <v>120</v>
      </c>
      <c r="N17" t="s">
        <v>53</v>
      </c>
      <c r="O17" t="s">
        <v>54</v>
      </c>
      <c r="P17" t="s">
        <v>53</v>
      </c>
      <c r="Q17" t="s">
        <v>121</v>
      </c>
      <c r="R17" t="s">
        <v>43</v>
      </c>
      <c r="T17">
        <v>0</v>
      </c>
      <c r="V17" t="s">
        <v>54</v>
      </c>
      <c r="W17" t="str">
        <f t="shared" si="1"/>
        <v xml:space="preserve">  </v>
      </c>
      <c r="Y17" t="str">
        <f>"  "</f>
        <v xml:space="preserve">  </v>
      </c>
      <c r="Z17" t="str">
        <f>"1-"</f>
        <v>1-</v>
      </c>
      <c r="AA17" t="str">
        <f>"  "</f>
        <v xml:space="preserve">  </v>
      </c>
      <c r="AB17" t="str">
        <f>"  "</f>
        <v xml:space="preserve">  </v>
      </c>
      <c r="AC17" t="str">
        <f>"  "</f>
        <v xml:space="preserve">  </v>
      </c>
      <c r="AD17" t="str">
        <f>"  "</f>
        <v xml:space="preserve">  </v>
      </c>
      <c r="AE17" t="str">
        <f>"  "</f>
        <v xml:space="preserve">  </v>
      </c>
      <c r="AG17" t="str">
        <f>""</f>
        <v/>
      </c>
      <c r="AH17" t="str">
        <f>""</f>
        <v/>
      </c>
      <c r="AI17" t="str">
        <f>""</f>
        <v/>
      </c>
      <c r="AJ17" t="str">
        <f>""</f>
        <v/>
      </c>
      <c r="AK17" t="str">
        <f>""</f>
        <v/>
      </c>
      <c r="AL17" t="str">
        <f>""</f>
        <v/>
      </c>
      <c r="AM17" t="str">
        <f>""</f>
        <v/>
      </c>
      <c r="AN17" t="str">
        <f>""</f>
        <v/>
      </c>
      <c r="AO17" t="str">
        <f>""</f>
        <v/>
      </c>
      <c r="AP17" t="str">
        <f>""</f>
        <v/>
      </c>
    </row>
    <row r="18" spans="1:42" x14ac:dyDescent="0.35">
      <c r="A18">
        <v>16</v>
      </c>
      <c r="B18" t="str">
        <f t="shared" si="0"/>
        <v>208515947798995670</v>
      </c>
      <c r="C18">
        <v>23103959732</v>
      </c>
      <c r="D18" t="s">
        <v>43</v>
      </c>
      <c r="E18" t="s">
        <v>44</v>
      </c>
      <c r="F18" t="s">
        <v>45</v>
      </c>
      <c r="G18" t="s">
        <v>46</v>
      </c>
      <c r="H18" t="s">
        <v>47</v>
      </c>
      <c r="I18" t="s">
        <v>48</v>
      </c>
      <c r="J18" t="s">
        <v>56</v>
      </c>
      <c r="K18" t="s">
        <v>122</v>
      </c>
      <c r="L18" t="s">
        <v>123</v>
      </c>
      <c r="M18" t="s">
        <v>124</v>
      </c>
      <c r="N18" t="s">
        <v>54</v>
      </c>
      <c r="O18" t="s">
        <v>53</v>
      </c>
      <c r="P18" t="s">
        <v>53</v>
      </c>
      <c r="Q18" t="s">
        <v>46</v>
      </c>
      <c r="R18" t="s">
        <v>43</v>
      </c>
      <c r="S18" t="s">
        <v>125</v>
      </c>
      <c r="T18">
        <v>829785</v>
      </c>
      <c r="U18">
        <v>0</v>
      </c>
      <c r="V18" t="s">
        <v>54</v>
      </c>
      <c r="W18" t="str">
        <f t="shared" si="1"/>
        <v xml:space="preserve">  </v>
      </c>
      <c r="Y18" t="str">
        <f>"Ace Contracting, Inc."</f>
        <v>Ace Contracting, Inc.</v>
      </c>
      <c r="Z18" t="str">
        <f>"1-9988437"</f>
        <v>1-9988437</v>
      </c>
      <c r="AA18" t="str">
        <f>"1990 Coney Island Avenue"</f>
        <v>1990 Coney Island Avenue</v>
      </c>
      <c r="AB18" t="str">
        <f>"  "</f>
        <v xml:space="preserve">  </v>
      </c>
      <c r="AC18" t="str">
        <f>"Brooklyn"</f>
        <v>Brooklyn</v>
      </c>
      <c r="AD18" t="str">
        <f>"New York"</f>
        <v>New York</v>
      </c>
      <c r="AE18" t="str">
        <f>"11223"</f>
        <v>11223</v>
      </c>
      <c r="AF18" t="s">
        <v>62</v>
      </c>
      <c r="AG18" t="str">
        <f>"Plumbing"</f>
        <v>Plumbing</v>
      </c>
      <c r="AH18" t="str">
        <f>"Plumbing"</f>
        <v>Plumbing</v>
      </c>
      <c r="AI18" t="str">
        <f>"1.5 million"</f>
        <v>1.5 million</v>
      </c>
      <c r="AJ18" t="str">
        <f>"2.5 million"</f>
        <v>2.5 million</v>
      </c>
      <c r="AK18" t="str">
        <f t="shared" ref="AK18:AN19" si="7">"No"</f>
        <v>No</v>
      </c>
      <c r="AL18" t="str">
        <f t="shared" si="7"/>
        <v>No</v>
      </c>
      <c r="AM18" t="str">
        <f t="shared" si="7"/>
        <v>No</v>
      </c>
      <c r="AN18" t="str">
        <f t="shared" si="7"/>
        <v>No</v>
      </c>
      <c r="AO18" t="str">
        <f>"Yes"</f>
        <v>Yes</v>
      </c>
      <c r="AP18" t="str">
        <f>"Yes"</f>
        <v>Yes</v>
      </c>
    </row>
    <row r="19" spans="1:42" x14ac:dyDescent="0.35">
      <c r="A19">
        <v>17</v>
      </c>
      <c r="B19" t="str">
        <f t="shared" si="0"/>
        <v>208515947798995670</v>
      </c>
      <c r="C19">
        <v>23103959732</v>
      </c>
      <c r="D19" t="s">
        <v>43</v>
      </c>
      <c r="E19" t="s">
        <v>44</v>
      </c>
      <c r="F19" t="s">
        <v>45</v>
      </c>
      <c r="G19" t="s">
        <v>46</v>
      </c>
      <c r="H19" t="s">
        <v>47</v>
      </c>
      <c r="I19" t="s">
        <v>48</v>
      </c>
      <c r="J19" t="s">
        <v>49</v>
      </c>
      <c r="K19" t="s">
        <v>126</v>
      </c>
      <c r="L19" t="s">
        <v>127</v>
      </c>
      <c r="M19" t="s">
        <v>128</v>
      </c>
      <c r="N19" t="s">
        <v>53</v>
      </c>
      <c r="O19" t="s">
        <v>53</v>
      </c>
      <c r="P19" t="s">
        <v>53</v>
      </c>
      <c r="Q19" t="s">
        <v>129</v>
      </c>
      <c r="R19" t="s">
        <v>43</v>
      </c>
      <c r="S19" t="s">
        <v>130</v>
      </c>
      <c r="T19">
        <v>554679</v>
      </c>
      <c r="U19">
        <v>0</v>
      </c>
      <c r="V19" t="s">
        <v>54</v>
      </c>
      <c r="W19" t="str">
        <f t="shared" si="1"/>
        <v xml:space="preserve">  </v>
      </c>
      <c r="Y19" t="str">
        <f>"Gordian"</f>
        <v>Gordian</v>
      </c>
      <c r="Z19" t="str">
        <f>"1-5188526901"</f>
        <v>1-5188526901</v>
      </c>
      <c r="AA19" t="str">
        <f>"  "</f>
        <v xml:space="preserve">  </v>
      </c>
      <c r="AB19" t="str">
        <f>"  "</f>
        <v xml:space="preserve">  </v>
      </c>
      <c r="AC19" t="str">
        <f>"CLIFTON PARK"</f>
        <v>CLIFTON PARK</v>
      </c>
      <c r="AD19" t="str">
        <f>"NY"</f>
        <v>NY</v>
      </c>
      <c r="AE19" t="str">
        <f>"12065"</f>
        <v>12065</v>
      </c>
      <c r="AF19" t="s">
        <v>62</v>
      </c>
      <c r="AG19" t="str">
        <f>"Consultant"</f>
        <v>Consultant</v>
      </c>
      <c r="AH19" t="str">
        <f>"N/A"</f>
        <v>N/A</v>
      </c>
      <c r="AI19" t="str">
        <f>"0"</f>
        <v>0</v>
      </c>
      <c r="AJ19" t="str">
        <f>"0"</f>
        <v>0</v>
      </c>
      <c r="AK19" t="str">
        <f t="shared" si="7"/>
        <v>No</v>
      </c>
      <c r="AL19" t="str">
        <f t="shared" si="7"/>
        <v>No</v>
      </c>
      <c r="AM19" t="str">
        <f t="shared" si="7"/>
        <v>No</v>
      </c>
      <c r="AN19" t="str">
        <f t="shared" si="7"/>
        <v>No</v>
      </c>
      <c r="AO19" t="str">
        <f>"No"</f>
        <v>No</v>
      </c>
      <c r="AP19" t="str">
        <f>"No"</f>
        <v>No</v>
      </c>
    </row>
    <row r="20" spans="1:42" x14ac:dyDescent="0.35">
      <c r="A20">
        <v>18</v>
      </c>
      <c r="B20" t="str">
        <f t="shared" si="0"/>
        <v>208515947798995670</v>
      </c>
      <c r="C20">
        <v>23103959732</v>
      </c>
      <c r="D20" t="s">
        <v>43</v>
      </c>
      <c r="E20" t="s">
        <v>44</v>
      </c>
      <c r="F20" t="s">
        <v>45</v>
      </c>
      <c r="G20" t="s">
        <v>46</v>
      </c>
      <c r="H20" t="s">
        <v>47</v>
      </c>
      <c r="I20" t="s">
        <v>48</v>
      </c>
      <c r="J20" t="s">
        <v>49</v>
      </c>
      <c r="K20" t="s">
        <v>131</v>
      </c>
      <c r="L20" t="s">
        <v>132</v>
      </c>
      <c r="M20" t="s">
        <v>120</v>
      </c>
      <c r="N20" t="s">
        <v>53</v>
      </c>
      <c r="O20" t="s">
        <v>54</v>
      </c>
      <c r="P20" t="s">
        <v>53</v>
      </c>
      <c r="Q20" t="s">
        <v>55</v>
      </c>
      <c r="R20" t="s">
        <v>43</v>
      </c>
      <c r="T20">
        <v>0</v>
      </c>
      <c r="V20" t="s">
        <v>54</v>
      </c>
      <c r="W20" t="str">
        <f t="shared" si="1"/>
        <v xml:space="preserve">  </v>
      </c>
      <c r="Y20" t="str">
        <f>"  "</f>
        <v xml:space="preserve">  </v>
      </c>
      <c r="Z20" t="str">
        <f>"1-"</f>
        <v>1-</v>
      </c>
      <c r="AA20" t="str">
        <f>"  "</f>
        <v xml:space="preserve">  </v>
      </c>
      <c r="AB20" t="str">
        <f>"  "</f>
        <v xml:space="preserve">  </v>
      </c>
      <c r="AC20" t="str">
        <f t="shared" ref="AC20:AE21" si="8">"  "</f>
        <v xml:space="preserve">  </v>
      </c>
      <c r="AD20" t="str">
        <f t="shared" si="8"/>
        <v xml:space="preserve">  </v>
      </c>
      <c r="AE20" t="str">
        <f t="shared" si="8"/>
        <v xml:space="preserve">  </v>
      </c>
      <c r="AG20" t="str">
        <f>""</f>
        <v/>
      </c>
      <c r="AH20" t="str">
        <f>""</f>
        <v/>
      </c>
      <c r="AI20" t="str">
        <f>""</f>
        <v/>
      </c>
      <c r="AJ20" t="str">
        <f>""</f>
        <v/>
      </c>
      <c r="AK20" t="str">
        <f>""</f>
        <v/>
      </c>
      <c r="AL20" t="str">
        <f>""</f>
        <v/>
      </c>
      <c r="AM20" t="str">
        <f>""</f>
        <v/>
      </c>
      <c r="AN20" t="str">
        <f>""</f>
        <v/>
      </c>
      <c r="AO20" t="str">
        <f>""</f>
        <v/>
      </c>
      <c r="AP20" t="str">
        <f>""</f>
        <v/>
      </c>
    </row>
    <row r="21" spans="1:42" x14ac:dyDescent="0.35">
      <c r="A21">
        <v>19</v>
      </c>
      <c r="B21" t="str">
        <f t="shared" si="0"/>
        <v>208515947798995670</v>
      </c>
      <c r="C21">
        <v>23103959732</v>
      </c>
      <c r="D21" t="s">
        <v>43</v>
      </c>
      <c r="E21" t="s">
        <v>44</v>
      </c>
      <c r="F21" t="s">
        <v>45</v>
      </c>
      <c r="G21" t="s">
        <v>46</v>
      </c>
      <c r="H21" t="s">
        <v>47</v>
      </c>
      <c r="I21" t="s">
        <v>48</v>
      </c>
      <c r="J21" t="s">
        <v>49</v>
      </c>
      <c r="K21" t="s">
        <v>118</v>
      </c>
      <c r="L21" t="s">
        <v>119</v>
      </c>
      <c r="M21" t="s">
        <v>120</v>
      </c>
      <c r="N21" t="s">
        <v>53</v>
      </c>
      <c r="O21" t="s">
        <v>54</v>
      </c>
      <c r="P21" t="s">
        <v>53</v>
      </c>
      <c r="Q21" t="s">
        <v>133</v>
      </c>
      <c r="R21" t="s">
        <v>43</v>
      </c>
      <c r="T21">
        <v>0</v>
      </c>
      <c r="V21" t="s">
        <v>54</v>
      </c>
      <c r="W21" t="str">
        <f t="shared" si="1"/>
        <v xml:space="preserve">  </v>
      </c>
      <c r="Y21" t="str">
        <f>"  "</f>
        <v xml:space="preserve">  </v>
      </c>
      <c r="Z21" t="str">
        <f>"1-"</f>
        <v>1-</v>
      </c>
      <c r="AA21" t="str">
        <f>"  "</f>
        <v xml:space="preserve">  </v>
      </c>
      <c r="AB21" t="str">
        <f>"  "</f>
        <v xml:space="preserve">  </v>
      </c>
      <c r="AC21" t="str">
        <f t="shared" si="8"/>
        <v xml:space="preserve">  </v>
      </c>
      <c r="AD21" t="str">
        <f t="shared" si="8"/>
        <v xml:space="preserve">  </v>
      </c>
      <c r="AE21" t="str">
        <f t="shared" si="8"/>
        <v xml:space="preserve">  </v>
      </c>
      <c r="AG21" t="str">
        <f>""</f>
        <v/>
      </c>
      <c r="AH21" t="str">
        <f>""</f>
        <v/>
      </c>
      <c r="AI21" t="str">
        <f>""</f>
        <v/>
      </c>
      <c r="AJ21" t="str">
        <f>""</f>
        <v/>
      </c>
      <c r="AK21" t="str">
        <f>""</f>
        <v/>
      </c>
      <c r="AL21" t="str">
        <f>""</f>
        <v/>
      </c>
      <c r="AM21" t="str">
        <f>""</f>
        <v/>
      </c>
      <c r="AN21" t="str">
        <f>""</f>
        <v/>
      </c>
      <c r="AO21" t="str">
        <f>""</f>
        <v/>
      </c>
      <c r="AP21" t="str">
        <f>""</f>
        <v/>
      </c>
    </row>
    <row r="22" spans="1:42" x14ac:dyDescent="0.35">
      <c r="A22">
        <v>20</v>
      </c>
      <c r="B22" t="str">
        <f t="shared" si="0"/>
        <v>208515947798995670</v>
      </c>
      <c r="C22">
        <v>23103959732</v>
      </c>
      <c r="D22" t="s">
        <v>43</v>
      </c>
      <c r="E22" t="s">
        <v>44</v>
      </c>
      <c r="F22" t="s">
        <v>45</v>
      </c>
      <c r="G22" t="s">
        <v>46</v>
      </c>
      <c r="H22" t="s">
        <v>47</v>
      </c>
      <c r="I22" t="s">
        <v>48</v>
      </c>
      <c r="J22" t="s">
        <v>56</v>
      </c>
      <c r="K22" t="s">
        <v>134</v>
      </c>
      <c r="L22" t="s">
        <v>135</v>
      </c>
      <c r="M22" t="s">
        <v>136</v>
      </c>
      <c r="N22" t="s">
        <v>54</v>
      </c>
      <c r="O22" t="s">
        <v>53</v>
      </c>
      <c r="P22" t="s">
        <v>53</v>
      </c>
      <c r="Q22" t="s">
        <v>137</v>
      </c>
      <c r="R22" t="s">
        <v>43</v>
      </c>
      <c r="S22" t="s">
        <v>138</v>
      </c>
      <c r="T22">
        <v>898639</v>
      </c>
      <c r="U22">
        <v>0</v>
      </c>
      <c r="V22" t="s">
        <v>54</v>
      </c>
      <c r="W22" t="str">
        <f t="shared" si="1"/>
        <v xml:space="preserve">  </v>
      </c>
      <c r="Y22" t="str">
        <f>"AXI System"</f>
        <v>AXI System</v>
      </c>
      <c r="Z22" t="str">
        <f>"1-7745734930"</f>
        <v>1-7745734930</v>
      </c>
      <c r="AA22" t="str">
        <f>"  "</f>
        <v xml:space="preserve">  </v>
      </c>
      <c r="AB22" t="str">
        <f>"  "</f>
        <v xml:space="preserve">  </v>
      </c>
      <c r="AC22" t="str">
        <f>"New York"</f>
        <v>New York</v>
      </c>
      <c r="AD22" t="str">
        <f>"New York"</f>
        <v>New York</v>
      </c>
      <c r="AE22" t="str">
        <f>"10021"</f>
        <v>10021</v>
      </c>
      <c r="AF22" t="s">
        <v>62</v>
      </c>
      <c r="AG22" t="str">
        <f>"Software"</f>
        <v>Software</v>
      </c>
      <c r="AH22" t="str">
        <f t="shared" ref="AH22:AJ23" si="9">"n/a"</f>
        <v>n/a</v>
      </c>
      <c r="AI22" t="str">
        <f t="shared" si="9"/>
        <v>n/a</v>
      </c>
      <c r="AJ22" t="str">
        <f t="shared" si="9"/>
        <v>n/a</v>
      </c>
      <c r="AK22" t="str">
        <f t="shared" ref="AK22:AP23" si="10">"No"</f>
        <v>No</v>
      </c>
      <c r="AL22" t="str">
        <f t="shared" si="10"/>
        <v>No</v>
      </c>
      <c r="AM22" t="str">
        <f t="shared" si="10"/>
        <v>No</v>
      </c>
      <c r="AN22" t="str">
        <f t="shared" si="10"/>
        <v>No</v>
      </c>
      <c r="AO22" t="str">
        <f t="shared" si="10"/>
        <v>No</v>
      </c>
      <c r="AP22" t="str">
        <f t="shared" si="10"/>
        <v>No</v>
      </c>
    </row>
    <row r="23" spans="1:42" x14ac:dyDescent="0.35">
      <c r="A23">
        <v>21</v>
      </c>
      <c r="B23" t="str">
        <f t="shared" si="0"/>
        <v>208515947798995670</v>
      </c>
      <c r="C23">
        <v>23103959732</v>
      </c>
      <c r="D23" t="s">
        <v>43</v>
      </c>
      <c r="E23" t="s">
        <v>44</v>
      </c>
      <c r="F23" t="s">
        <v>45</v>
      </c>
      <c r="G23" t="s">
        <v>46</v>
      </c>
      <c r="H23" t="s">
        <v>47</v>
      </c>
      <c r="I23" t="s">
        <v>48</v>
      </c>
      <c r="J23" t="s">
        <v>56</v>
      </c>
      <c r="K23" t="s">
        <v>139</v>
      </c>
      <c r="L23" t="s">
        <v>140</v>
      </c>
      <c r="M23" t="s">
        <v>141</v>
      </c>
      <c r="N23" t="s">
        <v>54</v>
      </c>
      <c r="O23" t="s">
        <v>53</v>
      </c>
      <c r="P23" t="s">
        <v>53</v>
      </c>
      <c r="Q23" t="s">
        <v>142</v>
      </c>
      <c r="R23" t="s">
        <v>43</v>
      </c>
      <c r="S23" t="s">
        <v>143</v>
      </c>
      <c r="T23">
        <v>687354</v>
      </c>
      <c r="U23">
        <v>0</v>
      </c>
      <c r="V23" t="s">
        <v>54</v>
      </c>
      <c r="W23" t="str">
        <f t="shared" si="1"/>
        <v xml:space="preserve">  </v>
      </c>
      <c r="Y23" t="str">
        <f>"New York"</f>
        <v>New York</v>
      </c>
      <c r="Z23" t="str">
        <f>"1-9177708654"</f>
        <v>1-9177708654</v>
      </c>
      <c r="AA23" t="str">
        <f>"165 Broadway"</f>
        <v>165 Broadway</v>
      </c>
      <c r="AB23" t="str">
        <f>"Fl 23"</f>
        <v>Fl 23</v>
      </c>
      <c r="AC23" t="str">
        <f>"New York"</f>
        <v>New York</v>
      </c>
      <c r="AD23" t="str">
        <f>"NY"</f>
        <v>NY</v>
      </c>
      <c r="AE23" t="str">
        <f>"10006"</f>
        <v>10006</v>
      </c>
      <c r="AF23" t="s">
        <v>62</v>
      </c>
      <c r="AG23" t="str">
        <f>"n/a"</f>
        <v>n/a</v>
      </c>
      <c r="AH23" t="str">
        <f t="shared" si="9"/>
        <v>n/a</v>
      </c>
      <c r="AI23" t="str">
        <f t="shared" si="9"/>
        <v>n/a</v>
      </c>
      <c r="AJ23" t="str">
        <f t="shared" si="9"/>
        <v>n/a</v>
      </c>
      <c r="AK23" t="str">
        <f t="shared" si="10"/>
        <v>No</v>
      </c>
      <c r="AL23" t="str">
        <f t="shared" si="10"/>
        <v>No</v>
      </c>
      <c r="AM23" t="str">
        <f t="shared" si="10"/>
        <v>No</v>
      </c>
      <c r="AN23" t="str">
        <f t="shared" si="10"/>
        <v>No</v>
      </c>
      <c r="AO23" t="str">
        <f t="shared" si="10"/>
        <v>No</v>
      </c>
      <c r="AP23" t="str">
        <f t="shared" si="10"/>
        <v>No</v>
      </c>
    </row>
    <row r="24" spans="1:42" x14ac:dyDescent="0.35">
      <c r="A24">
        <v>22</v>
      </c>
      <c r="B24" t="str">
        <f t="shared" si="0"/>
        <v>208515947798995670</v>
      </c>
      <c r="C24">
        <v>23103959732</v>
      </c>
      <c r="D24" t="s">
        <v>43</v>
      </c>
      <c r="E24" t="s">
        <v>44</v>
      </c>
      <c r="F24" t="s">
        <v>45</v>
      </c>
      <c r="G24" t="s">
        <v>46</v>
      </c>
      <c r="H24" t="s">
        <v>47</v>
      </c>
      <c r="I24" t="s">
        <v>48</v>
      </c>
      <c r="J24" t="s">
        <v>49</v>
      </c>
      <c r="K24" t="s">
        <v>144</v>
      </c>
      <c r="L24" t="s">
        <v>145</v>
      </c>
      <c r="M24" t="s">
        <v>146</v>
      </c>
      <c r="N24" t="s">
        <v>53</v>
      </c>
      <c r="O24" t="s">
        <v>54</v>
      </c>
      <c r="P24" t="s">
        <v>53</v>
      </c>
      <c r="Q24" t="s">
        <v>70</v>
      </c>
      <c r="R24" t="s">
        <v>43</v>
      </c>
      <c r="T24">
        <v>0</v>
      </c>
      <c r="V24" t="s">
        <v>54</v>
      </c>
      <c r="W24" t="str">
        <f t="shared" si="1"/>
        <v xml:space="preserve">  </v>
      </c>
      <c r="Y24" t="str">
        <f>"  "</f>
        <v xml:space="preserve">  </v>
      </c>
      <c r="Z24" t="str">
        <f>"1-"</f>
        <v>1-</v>
      </c>
      <c r="AA24" t="str">
        <f t="shared" ref="AA24:AE25" si="11">"  "</f>
        <v xml:space="preserve">  </v>
      </c>
      <c r="AB24" t="str">
        <f t="shared" si="11"/>
        <v xml:space="preserve">  </v>
      </c>
      <c r="AC24" t="str">
        <f t="shared" si="11"/>
        <v xml:space="preserve">  </v>
      </c>
      <c r="AD24" t="str">
        <f t="shared" si="11"/>
        <v xml:space="preserve">  </v>
      </c>
      <c r="AE24" t="str">
        <f t="shared" si="11"/>
        <v xml:space="preserve">  </v>
      </c>
      <c r="AG24" t="str">
        <f>""</f>
        <v/>
      </c>
      <c r="AH24" t="str">
        <f>""</f>
        <v/>
      </c>
      <c r="AI24" t="str">
        <f>""</f>
        <v/>
      </c>
      <c r="AJ24" t="str">
        <f>""</f>
        <v/>
      </c>
      <c r="AK24" t="str">
        <f>""</f>
        <v/>
      </c>
      <c r="AL24" t="str">
        <f>""</f>
        <v/>
      </c>
      <c r="AM24" t="str">
        <f>""</f>
        <v/>
      </c>
      <c r="AN24" t="str">
        <f>""</f>
        <v/>
      </c>
      <c r="AO24" t="str">
        <f>""</f>
        <v/>
      </c>
      <c r="AP24" t="str">
        <f>""</f>
        <v/>
      </c>
    </row>
    <row r="25" spans="1:42" x14ac:dyDescent="0.35">
      <c r="A25">
        <v>23</v>
      </c>
      <c r="B25" t="str">
        <f t="shared" si="0"/>
        <v>208515947798995670</v>
      </c>
      <c r="C25">
        <v>23103959732</v>
      </c>
      <c r="D25" t="s">
        <v>43</v>
      </c>
      <c r="E25" t="s">
        <v>44</v>
      </c>
      <c r="F25" t="s">
        <v>45</v>
      </c>
      <c r="G25" t="s">
        <v>46</v>
      </c>
      <c r="H25" t="s">
        <v>47</v>
      </c>
      <c r="I25" t="s">
        <v>48</v>
      </c>
      <c r="J25" t="s">
        <v>49</v>
      </c>
      <c r="K25" t="s">
        <v>131</v>
      </c>
      <c r="L25" t="s">
        <v>132</v>
      </c>
      <c r="M25" t="s">
        <v>120</v>
      </c>
      <c r="N25" t="s">
        <v>53</v>
      </c>
      <c r="O25" t="s">
        <v>54</v>
      </c>
      <c r="P25" t="s">
        <v>53</v>
      </c>
      <c r="Q25" t="s">
        <v>147</v>
      </c>
      <c r="R25" t="s">
        <v>43</v>
      </c>
      <c r="T25">
        <v>0</v>
      </c>
      <c r="V25" t="s">
        <v>54</v>
      </c>
      <c r="W25" t="str">
        <f t="shared" si="1"/>
        <v xml:space="preserve">  </v>
      </c>
      <c r="Y25" t="str">
        <f>"  "</f>
        <v xml:space="preserve">  </v>
      </c>
      <c r="Z25" t="str">
        <f>"1-"</f>
        <v>1-</v>
      </c>
      <c r="AA25" t="str">
        <f t="shared" si="11"/>
        <v xml:space="preserve">  </v>
      </c>
      <c r="AB25" t="str">
        <f t="shared" si="11"/>
        <v xml:space="preserve">  </v>
      </c>
      <c r="AC25" t="str">
        <f t="shared" si="11"/>
        <v xml:space="preserve">  </v>
      </c>
      <c r="AD25" t="str">
        <f t="shared" si="11"/>
        <v xml:space="preserve">  </v>
      </c>
      <c r="AE25" t="str">
        <f t="shared" si="11"/>
        <v xml:space="preserve">  </v>
      </c>
      <c r="AG25" t="str">
        <f>""</f>
        <v/>
      </c>
      <c r="AH25" t="str">
        <f>""</f>
        <v/>
      </c>
      <c r="AI25" t="str">
        <f>""</f>
        <v/>
      </c>
      <c r="AJ25" t="str">
        <f>""</f>
        <v/>
      </c>
      <c r="AK25" t="str">
        <f>""</f>
        <v/>
      </c>
      <c r="AL25" t="str">
        <f>""</f>
        <v/>
      </c>
      <c r="AM25" t="str">
        <f>""</f>
        <v/>
      </c>
      <c r="AN25" t="str">
        <f>""</f>
        <v/>
      </c>
      <c r="AO25" t="str">
        <f>""</f>
        <v/>
      </c>
      <c r="AP25" t="str">
        <f>""</f>
        <v/>
      </c>
    </row>
    <row r="26" spans="1:42" x14ac:dyDescent="0.35">
      <c r="A26"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AttendancePreliminaryDetailedRe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Burtch, Jennifer</dc:creator>
  <cp:lastModifiedBy>Burtch, Jennifer</cp:lastModifiedBy>
  <dcterms:created xsi:type="dcterms:W3CDTF">2021-11-04T18:38:48Z</dcterms:created>
  <dcterms:modified xsi:type="dcterms:W3CDTF">2021-11-04T18:38:49Z</dcterms:modified>
</cp:coreProperties>
</file>