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P:\4 - JOCS\2 - Construction Contracts\Pre-Bid\JOC October 2021\"/>
    </mc:Choice>
  </mc:AlternateContent>
  <xr:revisionPtr revIDLastSave="0" documentId="8_{37711AF9-226E-4ADC-AFF1-D1E1D40C4131}" xr6:coauthVersionLast="46" xr6:coauthVersionMax="46" xr10:uidLastSave="{00000000-0000-0000-0000-000000000000}"/>
  <bookViews>
    <workbookView xWindow="-110" yWindow="-110" windowWidth="19420" windowHeight="10420" xr2:uid="{00000000-000D-0000-FFFF-FFFF00000000}"/>
  </bookViews>
  <sheets>
    <sheet name="AttendancePreliminaryDetailedR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W3" i="1"/>
  <c r="Y3" i="1"/>
  <c r="Z3" i="1"/>
  <c r="AA3" i="1"/>
  <c r="AB3" i="1"/>
  <c r="AC3" i="1"/>
  <c r="AD3" i="1"/>
  <c r="AE3" i="1"/>
  <c r="AG3" i="1"/>
  <c r="AH3" i="1"/>
  <c r="AJ3" i="1"/>
  <c r="B4" i="1"/>
  <c r="W4" i="1"/>
  <c r="Y4" i="1"/>
  <c r="Z4" i="1"/>
  <c r="AA4" i="1"/>
  <c r="AB4" i="1"/>
  <c r="AC4" i="1"/>
  <c r="AD4" i="1"/>
  <c r="AE4" i="1"/>
  <c r="AG4" i="1"/>
  <c r="AH4" i="1"/>
  <c r="AI4" i="1"/>
  <c r="AJ4" i="1"/>
  <c r="B5" i="1"/>
  <c r="W5" i="1"/>
  <c r="Y5" i="1"/>
  <c r="Z5" i="1"/>
  <c r="AA5" i="1"/>
  <c r="AB5" i="1"/>
  <c r="AC5" i="1"/>
  <c r="AD5" i="1"/>
  <c r="AE5" i="1"/>
  <c r="AG5" i="1"/>
  <c r="AH5" i="1"/>
  <c r="AI5" i="1"/>
  <c r="AJ5" i="1"/>
  <c r="B6" i="1"/>
  <c r="W6" i="1"/>
  <c r="Y6" i="1"/>
  <c r="Z6" i="1"/>
  <c r="AA6" i="1"/>
  <c r="AB6" i="1"/>
  <c r="AC6" i="1"/>
  <c r="AD6" i="1"/>
  <c r="AE6" i="1"/>
  <c r="AG6" i="1"/>
  <c r="AH6" i="1"/>
  <c r="AI6" i="1"/>
  <c r="AJ6" i="1"/>
  <c r="B7" i="1"/>
  <c r="W7" i="1"/>
  <c r="Y7" i="1"/>
  <c r="Z7" i="1"/>
  <c r="AA7" i="1"/>
  <c r="AB7" i="1"/>
  <c r="AC7" i="1"/>
  <c r="AD7" i="1"/>
  <c r="AE7" i="1"/>
  <c r="AG7" i="1"/>
  <c r="AH7" i="1"/>
  <c r="AI7" i="1"/>
  <c r="AJ7" i="1"/>
  <c r="B8" i="1"/>
  <c r="W8" i="1"/>
  <c r="Y8" i="1"/>
  <c r="Z8" i="1"/>
  <c r="AA8" i="1"/>
  <c r="AB8" i="1"/>
  <c r="AC8" i="1"/>
  <c r="AD8" i="1"/>
  <c r="AE8" i="1"/>
  <c r="AG8" i="1"/>
  <c r="AH8" i="1"/>
  <c r="AI8" i="1"/>
  <c r="AJ8" i="1"/>
  <c r="B9" i="1"/>
  <c r="W9" i="1"/>
  <c r="Y9" i="1"/>
  <c r="Z9" i="1"/>
  <c r="AA9" i="1"/>
  <c r="AB9" i="1"/>
  <c r="AC9" i="1"/>
  <c r="AD9" i="1"/>
  <c r="AE9" i="1"/>
  <c r="AG9" i="1"/>
  <c r="AH9" i="1"/>
  <c r="AI9" i="1"/>
  <c r="AJ9" i="1"/>
  <c r="B10" i="1"/>
  <c r="W10" i="1"/>
  <c r="Y10" i="1"/>
  <c r="Z10" i="1"/>
  <c r="AA10" i="1"/>
  <c r="AB10" i="1"/>
  <c r="AC10" i="1"/>
  <c r="AD10" i="1"/>
  <c r="AE10" i="1"/>
  <c r="AG10" i="1"/>
  <c r="AH10" i="1"/>
  <c r="AI10" i="1"/>
  <c r="AJ10" i="1"/>
  <c r="B11" i="1"/>
  <c r="W11" i="1"/>
  <c r="Y11" i="1"/>
  <c r="Z11" i="1"/>
  <c r="AA11" i="1"/>
  <c r="AB11" i="1"/>
  <c r="AC11" i="1"/>
  <c r="AD11" i="1"/>
  <c r="AE11" i="1"/>
  <c r="AG11" i="1"/>
  <c r="AH11" i="1"/>
  <c r="AI11" i="1"/>
  <c r="AJ11" i="1"/>
  <c r="B12" i="1"/>
  <c r="W12" i="1"/>
  <c r="Y12" i="1"/>
  <c r="Z12" i="1"/>
  <c r="AA12" i="1"/>
  <c r="AB12" i="1"/>
  <c r="AC12" i="1"/>
  <c r="AD12" i="1"/>
  <c r="AE12" i="1"/>
  <c r="AG12" i="1"/>
  <c r="AH12" i="1"/>
  <c r="AI12" i="1"/>
  <c r="AJ12" i="1"/>
  <c r="B13" i="1"/>
  <c r="W13" i="1"/>
  <c r="Y13" i="1"/>
  <c r="Z13" i="1"/>
  <c r="AA13" i="1"/>
  <c r="AB13" i="1"/>
  <c r="AC13" i="1"/>
  <c r="AD13" i="1"/>
  <c r="AE13" i="1"/>
  <c r="AG13" i="1"/>
  <c r="AH13" i="1"/>
  <c r="AI13" i="1"/>
  <c r="AJ13" i="1"/>
  <c r="B14" i="1"/>
  <c r="W14" i="1"/>
  <c r="Y14" i="1"/>
  <c r="Z14" i="1"/>
  <c r="AA14" i="1"/>
  <c r="AB14" i="1"/>
  <c r="AC14" i="1"/>
  <c r="AD14" i="1"/>
  <c r="AE14" i="1"/>
  <c r="AG14" i="1"/>
  <c r="AH14" i="1"/>
  <c r="AI14" i="1"/>
  <c r="AJ14" i="1"/>
  <c r="B15" i="1"/>
  <c r="W15" i="1"/>
  <c r="Y15" i="1"/>
  <c r="Z15" i="1"/>
  <c r="AA15" i="1"/>
  <c r="AB15" i="1"/>
  <c r="AC15" i="1"/>
  <c r="AD15" i="1"/>
  <c r="AE15" i="1"/>
  <c r="AG15" i="1"/>
  <c r="AH15" i="1"/>
  <c r="AI15" i="1"/>
  <c r="AJ15" i="1"/>
  <c r="B16" i="1"/>
  <c r="W16" i="1"/>
  <c r="Y16" i="1"/>
  <c r="Z16" i="1"/>
  <c r="AA16" i="1"/>
  <c r="AB16" i="1"/>
  <c r="AC16" i="1"/>
  <c r="AD16" i="1"/>
  <c r="AE16" i="1"/>
  <c r="AG16" i="1"/>
  <c r="AH16" i="1"/>
  <c r="AI16" i="1"/>
  <c r="AJ16" i="1"/>
  <c r="B17" i="1"/>
  <c r="W17" i="1"/>
  <c r="Y17" i="1"/>
  <c r="Z17" i="1"/>
  <c r="AA17" i="1"/>
  <c r="AB17" i="1"/>
  <c r="AC17" i="1"/>
  <c r="AD17" i="1"/>
  <c r="AE17" i="1"/>
  <c r="AG17" i="1"/>
  <c r="AH17" i="1"/>
  <c r="AI17" i="1"/>
  <c r="AJ17" i="1"/>
  <c r="B18" i="1"/>
  <c r="W18" i="1"/>
  <c r="Y18" i="1"/>
  <c r="Z18" i="1"/>
  <c r="AA18" i="1"/>
  <c r="AB18" i="1"/>
  <c r="AC18" i="1"/>
  <c r="AD18" i="1"/>
  <c r="AE18" i="1"/>
  <c r="AG18" i="1"/>
  <c r="AH18" i="1"/>
  <c r="AI18" i="1"/>
  <c r="AJ18" i="1"/>
  <c r="B19" i="1"/>
  <c r="W19" i="1"/>
  <c r="Y19" i="1"/>
  <c r="Z19" i="1"/>
  <c r="AA19" i="1"/>
  <c r="AB19" i="1"/>
  <c r="AC19" i="1"/>
  <c r="AD19" i="1"/>
  <c r="AE19" i="1"/>
  <c r="AG19" i="1"/>
  <c r="AH19" i="1"/>
  <c r="AI19" i="1"/>
  <c r="AJ19" i="1"/>
  <c r="B20" i="1"/>
  <c r="W20" i="1"/>
  <c r="Y20" i="1"/>
  <c r="Z20" i="1"/>
  <c r="AA20" i="1"/>
  <c r="AB20" i="1"/>
  <c r="AC20" i="1"/>
  <c r="AD20" i="1"/>
  <c r="AE20" i="1"/>
  <c r="AG20" i="1"/>
  <c r="AH20" i="1"/>
  <c r="AI20" i="1"/>
  <c r="AJ20" i="1"/>
  <c r="B21" i="1"/>
  <c r="W21" i="1"/>
  <c r="Y21" i="1"/>
  <c r="Z21" i="1"/>
  <c r="AA21" i="1"/>
  <c r="AB21" i="1"/>
  <c r="AC21" i="1"/>
  <c r="AD21" i="1"/>
  <c r="AE21" i="1"/>
  <c r="AG21" i="1"/>
  <c r="AH21" i="1"/>
  <c r="AI21" i="1"/>
  <c r="AJ21" i="1"/>
  <c r="B22" i="1"/>
  <c r="W22" i="1"/>
  <c r="Y22" i="1"/>
  <c r="Z22" i="1"/>
  <c r="AA22" i="1"/>
  <c r="AB22" i="1"/>
  <c r="AC22" i="1"/>
  <c r="AD22" i="1"/>
  <c r="AE22" i="1"/>
  <c r="AG22" i="1"/>
  <c r="AH22" i="1"/>
  <c r="AI22" i="1"/>
  <c r="AJ22" i="1"/>
  <c r="B23" i="1"/>
  <c r="W23" i="1"/>
  <c r="Y23" i="1"/>
  <c r="Z23" i="1"/>
  <c r="AA23" i="1"/>
  <c r="AB23" i="1"/>
  <c r="AC23" i="1"/>
  <c r="AD23" i="1"/>
  <c r="AE23" i="1"/>
  <c r="AG23" i="1"/>
  <c r="AH23" i="1"/>
  <c r="AJ23" i="1"/>
  <c r="B24" i="1"/>
  <c r="W24" i="1"/>
  <c r="Y24" i="1"/>
  <c r="Z24" i="1"/>
  <c r="AA24" i="1"/>
  <c r="AB24" i="1"/>
  <c r="AC24" i="1"/>
  <c r="AD24" i="1"/>
  <c r="AE24" i="1"/>
  <c r="AG24" i="1"/>
  <c r="AH24" i="1"/>
  <c r="AJ24" i="1"/>
  <c r="B25" i="1"/>
  <c r="W25" i="1"/>
  <c r="Y25" i="1"/>
  <c r="Z25" i="1"/>
  <c r="AA25" i="1"/>
  <c r="AB25" i="1"/>
  <c r="AC25" i="1"/>
  <c r="AD25" i="1"/>
  <c r="AE25" i="1"/>
  <c r="AG25" i="1"/>
  <c r="AH25" i="1"/>
  <c r="AI25" i="1"/>
  <c r="AJ25" i="1"/>
  <c r="B26" i="1"/>
  <c r="W26" i="1"/>
  <c r="Y26" i="1"/>
  <c r="Z26" i="1"/>
  <c r="AA26" i="1"/>
  <c r="AB26" i="1"/>
  <c r="AC26" i="1"/>
  <c r="AD26" i="1"/>
  <c r="AE26" i="1"/>
  <c r="AG26" i="1"/>
  <c r="AH26" i="1"/>
  <c r="AI26" i="1"/>
  <c r="AJ26" i="1"/>
  <c r="B27" i="1"/>
  <c r="W27" i="1"/>
  <c r="Y27" i="1"/>
  <c r="Z27" i="1"/>
  <c r="AA27" i="1"/>
  <c r="AB27" i="1"/>
  <c r="AC27" i="1"/>
  <c r="AD27" i="1"/>
  <c r="AE27" i="1"/>
  <c r="AG27" i="1"/>
  <c r="AH27" i="1"/>
  <c r="AI27" i="1"/>
  <c r="AJ27" i="1"/>
  <c r="B28" i="1"/>
  <c r="W28" i="1"/>
  <c r="Y28" i="1"/>
  <c r="Z28" i="1"/>
  <c r="AA28" i="1"/>
  <c r="AB28" i="1"/>
  <c r="AC28" i="1"/>
  <c r="AD28" i="1"/>
  <c r="AE28" i="1"/>
  <c r="AG28" i="1"/>
  <c r="AH28" i="1"/>
  <c r="AI28" i="1"/>
  <c r="AJ28" i="1"/>
  <c r="B29" i="1"/>
  <c r="W29" i="1"/>
  <c r="Y29" i="1"/>
  <c r="Z29" i="1"/>
  <c r="AA29" i="1"/>
  <c r="AB29" i="1"/>
  <c r="AC29" i="1"/>
  <c r="AD29" i="1"/>
  <c r="AE29" i="1"/>
  <c r="AG29" i="1"/>
  <c r="AH29" i="1"/>
  <c r="AI29" i="1"/>
  <c r="AJ29" i="1"/>
  <c r="B30" i="1"/>
  <c r="W30" i="1"/>
  <c r="Y30" i="1"/>
  <c r="Z30" i="1"/>
  <c r="AA30" i="1"/>
  <c r="AB30" i="1"/>
  <c r="AC30" i="1"/>
  <c r="AD30" i="1"/>
  <c r="AE30" i="1"/>
  <c r="AG30" i="1"/>
  <c r="AH30" i="1"/>
  <c r="AI30" i="1"/>
  <c r="AJ30" i="1"/>
  <c r="B31" i="1"/>
  <c r="W31" i="1"/>
  <c r="Y31" i="1"/>
  <c r="Z31" i="1"/>
  <c r="AA31" i="1"/>
  <c r="AB31" i="1"/>
  <c r="AC31" i="1"/>
  <c r="AD31" i="1"/>
  <c r="AE31" i="1"/>
  <c r="AG31" i="1"/>
  <c r="AH31" i="1"/>
  <c r="AI31" i="1"/>
  <c r="AJ31" i="1"/>
  <c r="B32" i="1"/>
  <c r="W32" i="1"/>
  <c r="Y32" i="1"/>
  <c r="Z32" i="1"/>
  <c r="AA32" i="1"/>
  <c r="AB32" i="1"/>
  <c r="AC32" i="1"/>
  <c r="AD32" i="1"/>
  <c r="AE32" i="1"/>
  <c r="AG32" i="1"/>
  <c r="AH32" i="1"/>
  <c r="AI32" i="1"/>
  <c r="AJ32" i="1"/>
  <c r="B33" i="1"/>
  <c r="W33" i="1"/>
  <c r="Y33" i="1"/>
  <c r="Z33" i="1"/>
  <c r="AA33" i="1"/>
  <c r="AB33" i="1"/>
  <c r="AC33" i="1"/>
  <c r="AD33" i="1"/>
  <c r="AE33" i="1"/>
  <c r="AG33" i="1"/>
  <c r="AH33" i="1"/>
  <c r="AI33" i="1"/>
  <c r="AJ33" i="1"/>
  <c r="B34" i="1"/>
  <c r="W34" i="1"/>
  <c r="Y34" i="1"/>
  <c r="Z34" i="1"/>
  <c r="AA34" i="1"/>
  <c r="AB34" i="1"/>
  <c r="AC34" i="1"/>
  <c r="AD34" i="1"/>
  <c r="AE34" i="1"/>
  <c r="AG34" i="1"/>
  <c r="AH34" i="1"/>
  <c r="AI34" i="1"/>
  <c r="AJ34" i="1"/>
  <c r="B35" i="1"/>
  <c r="W35" i="1"/>
  <c r="Y35" i="1"/>
  <c r="Z35" i="1"/>
  <c r="AA35" i="1"/>
  <c r="AB35" i="1"/>
  <c r="AC35" i="1"/>
  <c r="AD35" i="1"/>
  <c r="AE35" i="1"/>
  <c r="AG35" i="1"/>
  <c r="AH35" i="1"/>
  <c r="AI35" i="1"/>
  <c r="AJ35" i="1"/>
  <c r="B36" i="1"/>
  <c r="W36" i="1"/>
  <c r="Y36" i="1"/>
  <c r="Z36" i="1"/>
  <c r="AA36" i="1"/>
  <c r="AB36" i="1"/>
  <c r="AC36" i="1"/>
  <c r="AD36" i="1"/>
  <c r="AE36" i="1"/>
  <c r="AG36" i="1"/>
  <c r="AH36" i="1"/>
  <c r="AI36" i="1"/>
  <c r="AJ36" i="1"/>
  <c r="B37" i="1"/>
  <c r="W37" i="1"/>
  <c r="Y37" i="1"/>
  <c r="Z37" i="1"/>
  <c r="AA37" i="1"/>
  <c r="AB37" i="1"/>
  <c r="AC37" i="1"/>
  <c r="AD37" i="1"/>
  <c r="AE37" i="1"/>
  <c r="AG37" i="1"/>
  <c r="AH37" i="1"/>
  <c r="AI37" i="1"/>
  <c r="AJ37" i="1"/>
  <c r="B38" i="1"/>
  <c r="W38" i="1"/>
  <c r="Y38" i="1"/>
  <c r="Z38" i="1"/>
  <c r="AA38" i="1"/>
  <c r="AB38" i="1"/>
  <c r="AC38" i="1"/>
  <c r="AD38" i="1"/>
  <c r="AE38" i="1"/>
  <c r="AG38" i="1"/>
  <c r="AH38" i="1"/>
  <c r="AI38" i="1"/>
  <c r="AJ38" i="1"/>
  <c r="B39" i="1"/>
  <c r="W39" i="1"/>
  <c r="Y39" i="1"/>
  <c r="Z39" i="1"/>
  <c r="AA39" i="1"/>
  <c r="AB39" i="1"/>
  <c r="AC39" i="1"/>
  <c r="AD39" i="1"/>
  <c r="AE39" i="1"/>
  <c r="AG39" i="1"/>
  <c r="AH39" i="1"/>
  <c r="AI39" i="1"/>
  <c r="AJ39" i="1"/>
  <c r="B40" i="1"/>
  <c r="W40" i="1"/>
  <c r="Y40" i="1"/>
  <c r="Z40" i="1"/>
  <c r="AA40" i="1"/>
  <c r="AB40" i="1"/>
  <c r="AC40" i="1"/>
  <c r="AD40" i="1"/>
  <c r="AE40" i="1"/>
  <c r="AG40" i="1"/>
  <c r="AH40" i="1"/>
  <c r="AJ40" i="1"/>
  <c r="B41" i="1"/>
  <c r="W41" i="1"/>
  <c r="Y41" i="1"/>
  <c r="Z41" i="1"/>
  <c r="AA41" i="1"/>
  <c r="AB41" i="1"/>
  <c r="AC41" i="1"/>
  <c r="AD41" i="1"/>
  <c r="AE41" i="1"/>
  <c r="AG41" i="1"/>
  <c r="AH41" i="1"/>
  <c r="AI41" i="1"/>
  <c r="AJ41" i="1"/>
  <c r="B42" i="1"/>
  <c r="W42" i="1"/>
  <c r="Y42" i="1"/>
  <c r="Z42" i="1"/>
  <c r="AA42" i="1"/>
  <c r="AB42" i="1"/>
  <c r="AC42" i="1"/>
  <c r="AD42" i="1"/>
  <c r="AE42" i="1"/>
  <c r="AG42" i="1"/>
  <c r="AH42" i="1"/>
  <c r="AI42" i="1"/>
  <c r="AJ42" i="1"/>
  <c r="B43" i="1"/>
  <c r="W43" i="1"/>
  <c r="Y43" i="1"/>
  <c r="Z43" i="1"/>
  <c r="AA43" i="1"/>
  <c r="AB43" i="1"/>
  <c r="AC43" i="1"/>
  <c r="AD43" i="1"/>
  <c r="AE43" i="1"/>
  <c r="AG43" i="1"/>
  <c r="AH43" i="1"/>
  <c r="AI43" i="1"/>
  <c r="AJ43" i="1"/>
  <c r="B44" i="1"/>
  <c r="W44" i="1"/>
  <c r="Y44" i="1"/>
  <c r="Z44" i="1"/>
  <c r="AA44" i="1"/>
  <c r="AB44" i="1"/>
  <c r="AC44" i="1"/>
  <c r="AD44" i="1"/>
  <c r="AE44" i="1"/>
  <c r="AG44" i="1"/>
  <c r="AH44" i="1"/>
  <c r="AI44" i="1"/>
  <c r="AJ44" i="1"/>
  <c r="B45" i="1"/>
  <c r="W45" i="1"/>
  <c r="Y45" i="1"/>
  <c r="Z45" i="1"/>
  <c r="AA45" i="1"/>
  <c r="AB45" i="1"/>
  <c r="AC45" i="1"/>
  <c r="AD45" i="1"/>
  <c r="AE45" i="1"/>
  <c r="AG45" i="1"/>
  <c r="AH45" i="1"/>
  <c r="AI45" i="1"/>
  <c r="AJ45" i="1"/>
  <c r="B46" i="1"/>
  <c r="W46" i="1"/>
  <c r="Y46" i="1"/>
  <c r="Z46" i="1"/>
  <c r="AA46" i="1"/>
  <c r="AB46" i="1"/>
  <c r="AC46" i="1"/>
  <c r="AD46" i="1"/>
  <c r="AE46" i="1"/>
  <c r="AG46" i="1"/>
  <c r="AH46" i="1"/>
  <c r="AJ46" i="1"/>
  <c r="B47" i="1"/>
  <c r="W47" i="1"/>
  <c r="Y47" i="1"/>
  <c r="Z47" i="1"/>
  <c r="AA47" i="1"/>
  <c r="AB47" i="1"/>
  <c r="AC47" i="1"/>
  <c r="AD47" i="1"/>
  <c r="AE47" i="1"/>
  <c r="AG47" i="1"/>
  <c r="AH47" i="1"/>
  <c r="AI47" i="1"/>
  <c r="AJ47" i="1"/>
  <c r="B48" i="1"/>
  <c r="W48" i="1"/>
  <c r="Y48" i="1"/>
  <c r="Z48" i="1"/>
  <c r="AA48" i="1"/>
  <c r="AB48" i="1"/>
  <c r="AC48" i="1"/>
  <c r="AD48" i="1"/>
  <c r="AE48" i="1"/>
  <c r="AG48" i="1"/>
  <c r="AH48" i="1"/>
  <c r="AI48" i="1"/>
  <c r="AJ48" i="1"/>
  <c r="B49" i="1"/>
  <c r="W49" i="1"/>
  <c r="Y49" i="1"/>
  <c r="Z49" i="1"/>
  <c r="AA49" i="1"/>
  <c r="AB49" i="1"/>
  <c r="AC49" i="1"/>
  <c r="AD49" i="1"/>
  <c r="AE49" i="1"/>
  <c r="AG49" i="1"/>
  <c r="AH49" i="1"/>
  <c r="AJ49" i="1"/>
  <c r="B50" i="1"/>
  <c r="W50" i="1"/>
  <c r="Y50" i="1"/>
  <c r="Z50" i="1"/>
  <c r="AA50" i="1"/>
  <c r="AB50" i="1"/>
  <c r="AC50" i="1"/>
  <c r="AD50" i="1"/>
  <c r="AE50" i="1"/>
  <c r="AG50" i="1"/>
  <c r="AH50" i="1"/>
  <c r="AI50" i="1"/>
  <c r="AJ50" i="1"/>
  <c r="B51" i="1"/>
  <c r="W51" i="1"/>
  <c r="Y51" i="1"/>
  <c r="Z51" i="1"/>
  <c r="AA51" i="1"/>
  <c r="AB51" i="1"/>
  <c r="AC51" i="1"/>
  <c r="AD51" i="1"/>
  <c r="AE51" i="1"/>
  <c r="AG51" i="1"/>
  <c r="AH51" i="1"/>
  <c r="AI51" i="1"/>
  <c r="AJ51" i="1"/>
  <c r="B52" i="1"/>
  <c r="W52" i="1"/>
  <c r="Y52" i="1"/>
  <c r="Z52" i="1"/>
  <c r="AA52" i="1"/>
  <c r="AB52" i="1"/>
  <c r="AC52" i="1"/>
  <c r="AD52" i="1"/>
  <c r="AE52" i="1"/>
  <c r="AG52" i="1"/>
  <c r="AH52" i="1"/>
  <c r="AI52" i="1"/>
  <c r="AJ52" i="1"/>
  <c r="B53" i="1"/>
  <c r="W53" i="1"/>
  <c r="Y53" i="1"/>
  <c r="Z53" i="1"/>
  <c r="AA53" i="1"/>
  <c r="AB53" i="1"/>
  <c r="AC53" i="1"/>
  <c r="AD53" i="1"/>
  <c r="AE53" i="1"/>
  <c r="AG53" i="1"/>
  <c r="AH53" i="1"/>
  <c r="AI53" i="1"/>
  <c r="AJ53" i="1"/>
  <c r="B54" i="1"/>
  <c r="W54" i="1"/>
  <c r="Y54" i="1"/>
  <c r="Z54" i="1"/>
  <c r="AA54" i="1"/>
  <c r="AB54" i="1"/>
  <c r="AC54" i="1"/>
  <c r="AD54" i="1"/>
  <c r="AE54" i="1"/>
  <c r="AG54" i="1"/>
  <c r="AH54" i="1"/>
  <c r="AI54" i="1"/>
  <c r="AJ54" i="1"/>
  <c r="B55" i="1"/>
  <c r="W55" i="1"/>
  <c r="Y55" i="1"/>
  <c r="Z55" i="1"/>
  <c r="AA55" i="1"/>
  <c r="AB55" i="1"/>
  <c r="AC55" i="1"/>
  <c r="AD55" i="1"/>
  <c r="AE55" i="1"/>
  <c r="AG55" i="1"/>
  <c r="AH55" i="1"/>
  <c r="AI55" i="1"/>
  <c r="AJ55" i="1"/>
  <c r="B56" i="1"/>
  <c r="W56" i="1"/>
  <c r="Y56" i="1"/>
  <c r="Z56" i="1"/>
  <c r="AA56" i="1"/>
  <c r="AB56" i="1"/>
  <c r="AC56" i="1"/>
  <c r="AD56" i="1"/>
  <c r="AE56" i="1"/>
  <c r="AG56" i="1"/>
  <c r="AH56" i="1"/>
  <c r="AI56" i="1"/>
  <c r="AJ56" i="1"/>
  <c r="B57" i="1"/>
  <c r="W57" i="1"/>
  <c r="Y57" i="1"/>
  <c r="Z57" i="1"/>
  <c r="AA57" i="1"/>
  <c r="AB57" i="1"/>
  <c r="AC57" i="1"/>
  <c r="AD57" i="1"/>
  <c r="AE57" i="1"/>
  <c r="AG57" i="1"/>
  <c r="AH57" i="1"/>
  <c r="AI57" i="1"/>
  <c r="AJ57" i="1"/>
  <c r="B58" i="1"/>
  <c r="W58" i="1"/>
  <c r="Y58" i="1"/>
  <c r="Z58" i="1"/>
  <c r="AA58" i="1"/>
  <c r="AB58" i="1"/>
  <c r="AC58" i="1"/>
  <c r="AD58" i="1"/>
  <c r="AE58" i="1"/>
  <c r="AG58" i="1"/>
  <c r="AH58" i="1"/>
  <c r="AI58" i="1"/>
  <c r="AJ58" i="1"/>
  <c r="B59" i="1"/>
  <c r="W59" i="1"/>
  <c r="Y59" i="1"/>
  <c r="Z59" i="1"/>
  <c r="AA59" i="1"/>
  <c r="AB59" i="1"/>
  <c r="AC59" i="1"/>
  <c r="AD59" i="1"/>
  <c r="AE59" i="1"/>
  <c r="AG59" i="1"/>
  <c r="AH59" i="1"/>
  <c r="AI59" i="1"/>
  <c r="AJ59" i="1"/>
  <c r="B60" i="1"/>
  <c r="W60" i="1"/>
  <c r="Y60" i="1"/>
  <c r="Z60" i="1"/>
  <c r="AA60" i="1"/>
  <c r="AB60" i="1"/>
  <c r="AC60" i="1"/>
  <c r="AD60" i="1"/>
  <c r="AE60" i="1"/>
  <c r="AG60" i="1"/>
  <c r="AH60" i="1"/>
  <c r="AI60" i="1"/>
  <c r="AJ60" i="1"/>
  <c r="B61" i="1"/>
  <c r="W61" i="1"/>
  <c r="Y61" i="1"/>
  <c r="Z61" i="1"/>
  <c r="AA61" i="1"/>
  <c r="AB61" i="1"/>
  <c r="AC61" i="1"/>
  <c r="AD61" i="1"/>
  <c r="AE61" i="1"/>
  <c r="AG61" i="1"/>
  <c r="AH61" i="1"/>
  <c r="AI61" i="1"/>
  <c r="AJ61" i="1"/>
  <c r="B62" i="1"/>
  <c r="W62" i="1"/>
  <c r="Y62" i="1"/>
  <c r="Z62" i="1"/>
  <c r="AA62" i="1"/>
  <c r="AB62" i="1"/>
  <c r="AC62" i="1"/>
  <c r="AD62" i="1"/>
  <c r="AE62" i="1"/>
  <c r="AG62" i="1"/>
  <c r="AH62" i="1"/>
  <c r="AJ62" i="1"/>
  <c r="B63" i="1"/>
  <c r="W63" i="1"/>
  <c r="Y63" i="1"/>
  <c r="Z63" i="1"/>
  <c r="AA63" i="1"/>
  <c r="AB63" i="1"/>
  <c r="AC63" i="1"/>
  <c r="AD63" i="1"/>
  <c r="AE63" i="1"/>
  <c r="AG63" i="1"/>
  <c r="AH63" i="1"/>
  <c r="AI63" i="1"/>
  <c r="AJ63" i="1"/>
  <c r="B64" i="1"/>
  <c r="W64" i="1"/>
  <c r="Y64" i="1"/>
  <c r="Z64" i="1"/>
  <c r="AA64" i="1"/>
  <c r="AB64" i="1"/>
  <c r="AC64" i="1"/>
  <c r="AD64" i="1"/>
  <c r="AE64" i="1"/>
  <c r="AG64" i="1"/>
  <c r="AH64" i="1"/>
  <c r="AI64" i="1"/>
  <c r="AJ64" i="1"/>
  <c r="B65" i="1"/>
  <c r="W65" i="1"/>
  <c r="Y65" i="1"/>
  <c r="Z65" i="1"/>
  <c r="AA65" i="1"/>
  <c r="AB65" i="1"/>
  <c r="AC65" i="1"/>
  <c r="AD65" i="1"/>
  <c r="AE65" i="1"/>
  <c r="AG65" i="1"/>
  <c r="AH65" i="1"/>
  <c r="AI65" i="1"/>
  <c r="AJ65" i="1"/>
  <c r="B66" i="1"/>
  <c r="W66" i="1"/>
  <c r="Y66" i="1"/>
  <c r="Z66" i="1"/>
  <c r="AA66" i="1"/>
  <c r="AB66" i="1"/>
  <c r="AC66" i="1"/>
  <c r="AD66" i="1"/>
  <c r="AE66" i="1"/>
  <c r="AG66" i="1"/>
  <c r="AH66" i="1"/>
  <c r="AI66" i="1"/>
  <c r="AJ66" i="1"/>
  <c r="B67" i="1"/>
  <c r="W67" i="1"/>
  <c r="Y67" i="1"/>
  <c r="Z67" i="1"/>
  <c r="AA67" i="1"/>
  <c r="AB67" i="1"/>
  <c r="AC67" i="1"/>
  <c r="AD67" i="1"/>
  <c r="AE67" i="1"/>
  <c r="AG67" i="1"/>
  <c r="AH67" i="1"/>
  <c r="AI67" i="1"/>
  <c r="AJ67" i="1"/>
  <c r="B68" i="1"/>
  <c r="W68" i="1"/>
  <c r="Y68" i="1"/>
  <c r="Z68" i="1"/>
  <c r="AA68" i="1"/>
  <c r="AB68" i="1"/>
  <c r="AC68" i="1"/>
  <c r="AD68" i="1"/>
  <c r="AE68" i="1"/>
  <c r="AG68" i="1"/>
  <c r="AH68" i="1"/>
  <c r="AI68" i="1"/>
  <c r="AJ68" i="1"/>
  <c r="B69" i="1"/>
  <c r="W69" i="1"/>
  <c r="Y69" i="1"/>
  <c r="Z69" i="1"/>
  <c r="AA69" i="1"/>
  <c r="AB69" i="1"/>
  <c r="AC69" i="1"/>
  <c r="AD69" i="1"/>
  <c r="AE69" i="1"/>
  <c r="AG69" i="1"/>
  <c r="AH69" i="1"/>
  <c r="AI69" i="1"/>
  <c r="AJ69" i="1"/>
  <c r="B70" i="1"/>
  <c r="W70" i="1"/>
  <c r="Y70" i="1"/>
  <c r="Z70" i="1"/>
  <c r="AA70" i="1"/>
  <c r="AB70" i="1"/>
  <c r="AC70" i="1"/>
  <c r="AD70" i="1"/>
  <c r="AE70" i="1"/>
  <c r="AG70" i="1"/>
  <c r="AH70" i="1"/>
  <c r="AI70" i="1"/>
  <c r="AJ70" i="1"/>
  <c r="B71" i="1"/>
  <c r="W71" i="1"/>
  <c r="Y71" i="1"/>
  <c r="Z71" i="1"/>
  <c r="AA71" i="1"/>
  <c r="AB71" i="1"/>
  <c r="AC71" i="1"/>
  <c r="AD71" i="1"/>
  <c r="AE71" i="1"/>
  <c r="AG71" i="1"/>
  <c r="AH71" i="1"/>
  <c r="AI71" i="1"/>
  <c r="AJ71" i="1"/>
  <c r="B72" i="1"/>
  <c r="W72" i="1"/>
  <c r="Y72" i="1"/>
  <c r="Z72" i="1"/>
  <c r="AA72" i="1"/>
  <c r="AB72" i="1"/>
  <c r="AC72" i="1"/>
  <c r="AD72" i="1"/>
  <c r="AE72" i="1"/>
  <c r="AG72" i="1"/>
  <c r="AH72" i="1"/>
  <c r="AI72" i="1"/>
  <c r="AJ72" i="1"/>
  <c r="B73" i="1"/>
  <c r="W73" i="1"/>
  <c r="Y73" i="1"/>
  <c r="Z73" i="1"/>
  <c r="AA73" i="1"/>
  <c r="AB73" i="1"/>
  <c r="AC73" i="1"/>
  <c r="AD73" i="1"/>
  <c r="AE73" i="1"/>
  <c r="AG73" i="1"/>
  <c r="AH73" i="1"/>
  <c r="AI73" i="1"/>
  <c r="AJ73" i="1"/>
  <c r="B74" i="1"/>
  <c r="W74" i="1"/>
  <c r="Y74" i="1"/>
  <c r="Z74" i="1"/>
  <c r="AA74" i="1"/>
  <c r="AB74" i="1"/>
  <c r="AC74" i="1"/>
  <c r="AD74" i="1"/>
  <c r="AE74" i="1"/>
  <c r="AG74" i="1"/>
  <c r="AH74" i="1"/>
  <c r="AI74" i="1"/>
  <c r="AJ74" i="1"/>
  <c r="B75" i="1"/>
  <c r="W75" i="1"/>
  <c r="Y75" i="1"/>
  <c r="Z75" i="1"/>
  <c r="AA75" i="1"/>
  <c r="AB75" i="1"/>
  <c r="AC75" i="1"/>
  <c r="AD75" i="1"/>
  <c r="AE75" i="1"/>
  <c r="AG75" i="1"/>
  <c r="AH75" i="1"/>
  <c r="AI75" i="1"/>
  <c r="AJ75" i="1"/>
  <c r="B76" i="1"/>
  <c r="W76" i="1"/>
  <c r="Y76" i="1"/>
  <c r="Z76" i="1"/>
  <c r="AA76" i="1"/>
  <c r="AB76" i="1"/>
  <c r="AC76" i="1"/>
  <c r="AD76" i="1"/>
  <c r="AE76" i="1"/>
  <c r="AG76" i="1"/>
  <c r="AH76" i="1"/>
  <c r="AI76" i="1"/>
  <c r="AJ76" i="1"/>
  <c r="B77" i="1"/>
  <c r="W77" i="1"/>
  <c r="Y77" i="1"/>
  <c r="Z77" i="1"/>
  <c r="AA77" i="1"/>
  <c r="AB77" i="1"/>
  <c r="AC77" i="1"/>
  <c r="AD77" i="1"/>
  <c r="AE77" i="1"/>
  <c r="AG77" i="1"/>
  <c r="AH77" i="1"/>
  <c r="AI77" i="1"/>
  <c r="AJ77" i="1"/>
  <c r="B78" i="1"/>
  <c r="W78" i="1"/>
  <c r="Y78" i="1"/>
  <c r="Z78" i="1"/>
  <c r="AA78" i="1"/>
  <c r="AB78" i="1"/>
  <c r="AC78" i="1"/>
  <c r="AD78" i="1"/>
  <c r="AE78" i="1"/>
  <c r="AG78" i="1"/>
  <c r="AH78" i="1"/>
  <c r="AI78" i="1"/>
  <c r="AJ78" i="1"/>
  <c r="B79" i="1"/>
  <c r="W79" i="1"/>
  <c r="Y79" i="1"/>
  <c r="Z79" i="1"/>
  <c r="AA79" i="1"/>
  <c r="AB79" i="1"/>
  <c r="AC79" i="1"/>
  <c r="AD79" i="1"/>
  <c r="AE79" i="1"/>
  <c r="AG79" i="1"/>
  <c r="AH79" i="1"/>
  <c r="AI79" i="1"/>
  <c r="AJ79" i="1"/>
  <c r="B80" i="1"/>
  <c r="W80" i="1"/>
  <c r="Y80" i="1"/>
  <c r="Z80" i="1"/>
  <c r="AA80" i="1"/>
  <c r="AB80" i="1"/>
  <c r="AC80" i="1"/>
  <c r="AD80" i="1"/>
  <c r="AE80" i="1"/>
  <c r="AG80" i="1"/>
  <c r="AH80" i="1"/>
  <c r="AI80" i="1"/>
  <c r="AJ80" i="1"/>
  <c r="B81" i="1"/>
  <c r="W81" i="1"/>
  <c r="Y81" i="1"/>
  <c r="Z81" i="1"/>
  <c r="AA81" i="1"/>
  <c r="AB81" i="1"/>
  <c r="AC81" i="1"/>
  <c r="AD81" i="1"/>
  <c r="AE81" i="1"/>
  <c r="AG81" i="1"/>
  <c r="AH81" i="1"/>
  <c r="AI81" i="1"/>
  <c r="AJ81" i="1"/>
  <c r="B82" i="1"/>
  <c r="W82" i="1"/>
  <c r="Y82" i="1"/>
  <c r="Z82" i="1"/>
  <c r="AA82" i="1"/>
  <c r="AB82" i="1"/>
  <c r="AC82" i="1"/>
  <c r="AD82" i="1"/>
  <c r="AE82" i="1"/>
  <c r="AG82" i="1"/>
  <c r="AH82" i="1"/>
  <c r="AI82" i="1"/>
  <c r="AJ82" i="1"/>
  <c r="B83" i="1"/>
  <c r="W83" i="1"/>
  <c r="Y83" i="1"/>
  <c r="Z83" i="1"/>
  <c r="AA83" i="1"/>
  <c r="AB83" i="1"/>
  <c r="AC83" i="1"/>
  <c r="AD83" i="1"/>
  <c r="AE83" i="1"/>
  <c r="AG83" i="1"/>
  <c r="AH83" i="1"/>
  <c r="AI83" i="1"/>
  <c r="AJ83" i="1"/>
  <c r="B84" i="1"/>
  <c r="W84" i="1"/>
  <c r="Y84" i="1"/>
  <c r="Z84" i="1"/>
  <c r="AA84" i="1"/>
  <c r="AB84" i="1"/>
  <c r="AC84" i="1"/>
  <c r="AD84" i="1"/>
  <c r="AE84" i="1"/>
  <c r="AG84" i="1"/>
  <c r="AH84" i="1"/>
  <c r="AI84" i="1"/>
  <c r="AJ84" i="1"/>
  <c r="B85" i="1"/>
  <c r="W85" i="1"/>
  <c r="Y85" i="1"/>
  <c r="Z85" i="1"/>
  <c r="AA85" i="1"/>
  <c r="AB85" i="1"/>
  <c r="AC85" i="1"/>
  <c r="AD85" i="1"/>
  <c r="AE85" i="1"/>
  <c r="AG85" i="1"/>
  <c r="AH85" i="1"/>
  <c r="AI85" i="1"/>
  <c r="AJ85" i="1"/>
  <c r="B86" i="1"/>
  <c r="W86" i="1"/>
  <c r="Y86" i="1"/>
  <c r="Z86" i="1"/>
  <c r="AA86" i="1"/>
  <c r="AB86" i="1"/>
  <c r="AC86" i="1"/>
  <c r="AD86" i="1"/>
  <c r="AE86" i="1"/>
  <c r="AG86" i="1"/>
  <c r="AH86" i="1"/>
  <c r="AI86" i="1"/>
  <c r="AJ86" i="1"/>
  <c r="B87" i="1"/>
  <c r="W87" i="1"/>
  <c r="Y87" i="1"/>
  <c r="Z87" i="1"/>
  <c r="AA87" i="1"/>
  <c r="AB87" i="1"/>
  <c r="AC87" i="1"/>
  <c r="AD87" i="1"/>
  <c r="AE87" i="1"/>
  <c r="AG87" i="1"/>
  <c r="AH87" i="1"/>
  <c r="AI87" i="1"/>
  <c r="AJ87" i="1"/>
  <c r="B88" i="1"/>
  <c r="W88" i="1"/>
  <c r="Y88" i="1"/>
  <c r="Z88" i="1"/>
  <c r="AA88" i="1"/>
  <c r="AB88" i="1"/>
  <c r="AC88" i="1"/>
  <c r="AD88" i="1"/>
  <c r="AE88" i="1"/>
  <c r="AG88" i="1"/>
  <c r="AH88" i="1"/>
  <c r="AI88" i="1"/>
  <c r="AJ88" i="1"/>
  <c r="B89" i="1"/>
  <c r="W89" i="1"/>
  <c r="Y89" i="1"/>
  <c r="Z89" i="1"/>
  <c r="AA89" i="1"/>
  <c r="AB89" i="1"/>
  <c r="AC89" i="1"/>
  <c r="AD89" i="1"/>
  <c r="AE89" i="1"/>
  <c r="AG89" i="1"/>
  <c r="AH89" i="1"/>
  <c r="AI89" i="1"/>
  <c r="AJ89" i="1"/>
  <c r="B90" i="1"/>
  <c r="W90" i="1"/>
  <c r="Y90" i="1"/>
  <c r="Z90" i="1"/>
  <c r="AA90" i="1"/>
  <c r="AB90" i="1"/>
  <c r="AC90" i="1"/>
  <c r="AD90" i="1"/>
  <c r="AE90" i="1"/>
  <c r="AG90" i="1"/>
  <c r="AH90" i="1"/>
  <c r="AI90" i="1"/>
  <c r="AJ90" i="1"/>
  <c r="B91" i="1"/>
  <c r="W91" i="1"/>
  <c r="Y91" i="1"/>
  <c r="Z91" i="1"/>
  <c r="AA91" i="1"/>
  <c r="AB91" i="1"/>
  <c r="AC91" i="1"/>
  <c r="AD91" i="1"/>
  <c r="AE91" i="1"/>
  <c r="AG91" i="1"/>
  <c r="AH91" i="1"/>
  <c r="AI91" i="1"/>
  <c r="AJ91" i="1"/>
  <c r="B92" i="1"/>
  <c r="W92" i="1"/>
  <c r="Y92" i="1"/>
  <c r="Z92" i="1"/>
  <c r="AA92" i="1"/>
  <c r="AB92" i="1"/>
  <c r="AC92" i="1"/>
  <c r="AD92" i="1"/>
  <c r="AE92" i="1"/>
  <c r="AG92" i="1"/>
  <c r="AH92" i="1"/>
  <c r="AI92" i="1"/>
  <c r="AJ92" i="1"/>
  <c r="B93" i="1"/>
  <c r="W93" i="1"/>
  <c r="Y93" i="1"/>
  <c r="Z93" i="1"/>
  <c r="AA93" i="1"/>
  <c r="AB93" i="1"/>
  <c r="AC93" i="1"/>
  <c r="AD93" i="1"/>
  <c r="AE93" i="1"/>
  <c r="AG93" i="1"/>
  <c r="AH93" i="1"/>
  <c r="AI93" i="1"/>
  <c r="AJ93" i="1"/>
  <c r="B94" i="1"/>
  <c r="W94" i="1"/>
  <c r="Y94" i="1"/>
  <c r="Z94" i="1"/>
  <c r="AA94" i="1"/>
  <c r="AB94" i="1"/>
  <c r="AC94" i="1"/>
  <c r="AD94" i="1"/>
  <c r="AE94" i="1"/>
  <c r="AG94" i="1"/>
  <c r="AH94" i="1"/>
  <c r="AI94" i="1"/>
  <c r="AJ94" i="1"/>
  <c r="B95" i="1"/>
  <c r="W95" i="1"/>
  <c r="Y95" i="1"/>
  <c r="Z95" i="1"/>
  <c r="AA95" i="1"/>
  <c r="AB95" i="1"/>
  <c r="AC95" i="1"/>
  <c r="AD95" i="1"/>
  <c r="AE95" i="1"/>
  <c r="AG95" i="1"/>
  <c r="AH95" i="1"/>
  <c r="AI95" i="1"/>
  <c r="AJ95" i="1"/>
  <c r="B96" i="1"/>
  <c r="W96" i="1"/>
  <c r="Y96" i="1"/>
  <c r="Z96" i="1"/>
  <c r="AA96" i="1"/>
  <c r="AB96" i="1"/>
  <c r="AC96" i="1"/>
  <c r="AD96" i="1"/>
  <c r="AE96" i="1"/>
  <c r="AG96" i="1"/>
  <c r="AH96" i="1"/>
  <c r="AI96" i="1"/>
  <c r="AJ96" i="1"/>
  <c r="B97" i="1"/>
  <c r="W97" i="1"/>
  <c r="Y97" i="1"/>
  <c r="Z97" i="1"/>
  <c r="AA97" i="1"/>
  <c r="AB97" i="1"/>
  <c r="AC97" i="1"/>
  <c r="AD97" i="1"/>
  <c r="AE97" i="1"/>
  <c r="AG97" i="1"/>
  <c r="AH97" i="1"/>
  <c r="AJ97" i="1"/>
  <c r="B98" i="1"/>
  <c r="W98" i="1"/>
  <c r="Y98" i="1"/>
  <c r="Z98" i="1"/>
  <c r="AA98" i="1"/>
  <c r="AB98" i="1"/>
  <c r="AC98" i="1"/>
  <c r="AD98" i="1"/>
  <c r="AE98" i="1"/>
  <c r="AG98" i="1"/>
  <c r="AH98" i="1"/>
  <c r="AI98" i="1"/>
  <c r="AJ98" i="1"/>
  <c r="B99" i="1"/>
  <c r="W99" i="1"/>
  <c r="Y99" i="1"/>
  <c r="Z99" i="1"/>
  <c r="AA99" i="1"/>
  <c r="AB99" i="1"/>
  <c r="AC99" i="1"/>
  <c r="AD99" i="1"/>
  <c r="AE99" i="1"/>
  <c r="AG99" i="1"/>
  <c r="AH99" i="1"/>
  <c r="AI99" i="1"/>
  <c r="AJ99" i="1"/>
  <c r="B100" i="1"/>
  <c r="W100" i="1"/>
  <c r="Y100" i="1"/>
  <c r="Z100" i="1"/>
  <c r="AA100" i="1"/>
  <c r="AB100" i="1"/>
  <c r="AC100" i="1"/>
  <c r="AD100" i="1"/>
  <c r="AE100" i="1"/>
  <c r="AG100" i="1"/>
  <c r="AH100" i="1"/>
  <c r="AI100" i="1"/>
  <c r="AJ100" i="1"/>
  <c r="B101" i="1"/>
  <c r="W101" i="1"/>
  <c r="Y101" i="1"/>
  <c r="Z101" i="1"/>
  <c r="AA101" i="1"/>
  <c r="AB101" i="1"/>
  <c r="AC101" i="1"/>
  <c r="AD101" i="1"/>
  <c r="AE101" i="1"/>
  <c r="AG101" i="1"/>
  <c r="AH101" i="1"/>
  <c r="AI101" i="1"/>
  <c r="AJ101" i="1"/>
  <c r="B102" i="1"/>
  <c r="W102" i="1"/>
  <c r="Y102" i="1"/>
  <c r="Z102" i="1"/>
  <c r="AA102" i="1"/>
  <c r="AB102" i="1"/>
  <c r="AC102" i="1"/>
  <c r="AD102" i="1"/>
  <c r="AE102" i="1"/>
  <c r="AG102" i="1"/>
  <c r="AH102" i="1"/>
  <c r="AJ102" i="1"/>
  <c r="B103" i="1"/>
  <c r="W103" i="1"/>
  <c r="Y103" i="1"/>
  <c r="Z103" i="1"/>
  <c r="AA103" i="1"/>
  <c r="AB103" i="1"/>
  <c r="AC103" i="1"/>
  <c r="AD103" i="1"/>
  <c r="AE103" i="1"/>
  <c r="AG103" i="1"/>
  <c r="AH103" i="1"/>
  <c r="AI103" i="1"/>
  <c r="AJ103" i="1"/>
  <c r="B104" i="1"/>
  <c r="W104" i="1"/>
  <c r="Y104" i="1"/>
  <c r="Z104" i="1"/>
  <c r="AA104" i="1"/>
  <c r="AB104" i="1"/>
  <c r="AC104" i="1"/>
  <c r="AD104" i="1"/>
  <c r="AE104" i="1"/>
  <c r="AG104" i="1"/>
  <c r="AH104" i="1"/>
  <c r="AI104" i="1"/>
  <c r="AJ104" i="1"/>
  <c r="B105" i="1"/>
  <c r="W105" i="1"/>
  <c r="Y105" i="1"/>
  <c r="Z105" i="1"/>
  <c r="AA105" i="1"/>
  <c r="AB105" i="1"/>
  <c r="AC105" i="1"/>
  <c r="AD105" i="1"/>
  <c r="AE105" i="1"/>
  <c r="AG105" i="1"/>
  <c r="AH105" i="1"/>
  <c r="AI105" i="1"/>
  <c r="AJ105" i="1"/>
  <c r="B106" i="1"/>
  <c r="W106" i="1"/>
  <c r="Y106" i="1"/>
  <c r="Z106" i="1"/>
  <c r="AA106" i="1"/>
  <c r="AB106" i="1"/>
  <c r="AC106" i="1"/>
  <c r="AD106" i="1"/>
  <c r="AE106" i="1"/>
  <c r="AG106" i="1"/>
  <c r="AH106" i="1"/>
  <c r="AI106" i="1"/>
  <c r="AJ106" i="1"/>
  <c r="B107" i="1"/>
  <c r="W107" i="1"/>
  <c r="Y107" i="1"/>
  <c r="Z107" i="1"/>
  <c r="AA107" i="1"/>
  <c r="AB107" i="1"/>
  <c r="AC107" i="1"/>
  <c r="AD107" i="1"/>
  <c r="AE107" i="1"/>
  <c r="AG107" i="1"/>
  <c r="AH107" i="1"/>
  <c r="AI107" i="1"/>
  <c r="AJ107" i="1"/>
  <c r="B108" i="1"/>
  <c r="W108" i="1"/>
  <c r="Y108" i="1"/>
  <c r="Z108" i="1"/>
  <c r="AA108" i="1"/>
  <c r="AB108" i="1"/>
  <c r="AC108" i="1"/>
  <c r="AD108" i="1"/>
  <c r="AE108" i="1"/>
  <c r="AG108" i="1"/>
  <c r="AH108" i="1"/>
  <c r="AI108" i="1"/>
  <c r="AJ108" i="1"/>
  <c r="B109" i="1"/>
  <c r="W109" i="1"/>
  <c r="Y109" i="1"/>
  <c r="Z109" i="1"/>
  <c r="AA109" i="1"/>
  <c r="AB109" i="1"/>
  <c r="AC109" i="1"/>
  <c r="AD109" i="1"/>
  <c r="AE109" i="1"/>
  <c r="AG109" i="1"/>
  <c r="AH109" i="1"/>
  <c r="AI109" i="1"/>
  <c r="AJ109" i="1"/>
  <c r="B110" i="1"/>
  <c r="W110" i="1"/>
  <c r="Y110" i="1"/>
  <c r="Z110" i="1"/>
  <c r="AA110" i="1"/>
  <c r="AB110" i="1"/>
  <c r="AC110" i="1"/>
  <c r="AD110" i="1"/>
  <c r="AE110" i="1"/>
  <c r="AG110" i="1"/>
  <c r="AH110" i="1"/>
  <c r="AI110" i="1"/>
  <c r="AJ110" i="1"/>
  <c r="B111" i="1"/>
  <c r="W111" i="1"/>
  <c r="Y111" i="1"/>
  <c r="Z111" i="1"/>
  <c r="AA111" i="1"/>
  <c r="AB111" i="1"/>
  <c r="AC111" i="1"/>
  <c r="AD111" i="1"/>
  <c r="AE111" i="1"/>
  <c r="AG111" i="1"/>
  <c r="AH111" i="1"/>
  <c r="AI111" i="1"/>
  <c r="AJ111" i="1"/>
  <c r="B112" i="1"/>
  <c r="W112" i="1"/>
  <c r="Y112" i="1"/>
  <c r="Z112" i="1"/>
  <c r="AA112" i="1"/>
  <c r="AB112" i="1"/>
  <c r="AC112" i="1"/>
  <c r="AD112" i="1"/>
  <c r="AE112" i="1"/>
  <c r="AG112" i="1"/>
  <c r="AH112" i="1"/>
  <c r="AI112" i="1"/>
  <c r="AJ112" i="1"/>
  <c r="B113" i="1"/>
  <c r="W113" i="1"/>
  <c r="Y113" i="1"/>
  <c r="Z113" i="1"/>
  <c r="AA113" i="1"/>
  <c r="AB113" i="1"/>
  <c r="AC113" i="1"/>
  <c r="AD113" i="1"/>
  <c r="AE113" i="1"/>
  <c r="AG113" i="1"/>
  <c r="AH113" i="1"/>
  <c r="AI113" i="1"/>
  <c r="AJ113" i="1"/>
  <c r="B114" i="1"/>
  <c r="W114" i="1"/>
  <c r="Y114" i="1"/>
  <c r="Z114" i="1"/>
  <c r="AA114" i="1"/>
  <c r="AB114" i="1"/>
  <c r="AC114" i="1"/>
  <c r="AD114" i="1"/>
  <c r="AE114" i="1"/>
  <c r="AG114" i="1"/>
  <c r="AH114" i="1"/>
  <c r="AI114" i="1"/>
  <c r="AJ114" i="1"/>
  <c r="B115" i="1"/>
  <c r="W115" i="1"/>
  <c r="Y115" i="1"/>
  <c r="Z115" i="1"/>
  <c r="AA115" i="1"/>
  <c r="AB115" i="1"/>
  <c r="AC115" i="1"/>
  <c r="AD115" i="1"/>
  <c r="AE115" i="1"/>
  <c r="AG115" i="1"/>
  <c r="AH115" i="1"/>
  <c r="AJ115" i="1"/>
  <c r="B116" i="1"/>
  <c r="W116" i="1"/>
  <c r="Y116" i="1"/>
  <c r="Z116" i="1"/>
  <c r="AA116" i="1"/>
  <c r="AB116" i="1"/>
  <c r="AC116" i="1"/>
  <c r="AD116" i="1"/>
  <c r="AE116" i="1"/>
  <c r="AG116" i="1"/>
  <c r="AH116" i="1"/>
  <c r="AI116" i="1"/>
  <c r="AJ116" i="1"/>
  <c r="B117" i="1"/>
  <c r="W117" i="1"/>
  <c r="Y117" i="1"/>
  <c r="Z117" i="1"/>
  <c r="AA117" i="1"/>
  <c r="AB117" i="1"/>
  <c r="AC117" i="1"/>
  <c r="AD117" i="1"/>
  <c r="AE117" i="1"/>
  <c r="AG117" i="1"/>
  <c r="AH117" i="1"/>
  <c r="AI117" i="1"/>
  <c r="AJ117" i="1"/>
  <c r="B118" i="1"/>
  <c r="W118" i="1"/>
  <c r="Y118" i="1"/>
  <c r="Z118" i="1"/>
  <c r="AA118" i="1"/>
  <c r="AB118" i="1"/>
  <c r="AC118" i="1"/>
  <c r="AD118" i="1"/>
  <c r="AE118" i="1"/>
  <c r="AG118" i="1"/>
  <c r="AH118" i="1"/>
  <c r="AI118" i="1"/>
  <c r="AJ118" i="1"/>
  <c r="B119" i="1"/>
  <c r="W119" i="1"/>
  <c r="Y119" i="1"/>
  <c r="Z119" i="1"/>
  <c r="AA119" i="1"/>
  <c r="AB119" i="1"/>
  <c r="AC119" i="1"/>
  <c r="AD119" i="1"/>
  <c r="AE119" i="1"/>
  <c r="AG119" i="1"/>
  <c r="AH119" i="1"/>
  <c r="AI119" i="1"/>
  <c r="AJ119" i="1"/>
  <c r="B120" i="1"/>
  <c r="W120" i="1"/>
  <c r="Y120" i="1"/>
  <c r="Z120" i="1"/>
  <c r="AA120" i="1"/>
  <c r="AB120" i="1"/>
  <c r="AC120" i="1"/>
  <c r="AD120" i="1"/>
  <c r="AE120" i="1"/>
  <c r="AG120" i="1"/>
  <c r="AH120" i="1"/>
  <c r="AI120" i="1"/>
  <c r="AJ120" i="1"/>
  <c r="B121" i="1"/>
  <c r="W121" i="1"/>
  <c r="Y121" i="1"/>
  <c r="Z121" i="1"/>
  <c r="AA121" i="1"/>
  <c r="AB121" i="1"/>
  <c r="AC121" i="1"/>
  <c r="AD121" i="1"/>
  <c r="AE121" i="1"/>
  <c r="AG121" i="1"/>
  <c r="AH121" i="1"/>
  <c r="AI121" i="1"/>
  <c r="AJ121" i="1"/>
  <c r="B122" i="1"/>
  <c r="W122" i="1"/>
  <c r="Y122" i="1"/>
  <c r="Z122" i="1"/>
  <c r="AA122" i="1"/>
  <c r="AB122" i="1"/>
  <c r="AC122" i="1"/>
  <c r="AD122" i="1"/>
  <c r="AE122" i="1"/>
  <c r="AG122" i="1"/>
  <c r="AH122" i="1"/>
  <c r="AI122" i="1"/>
  <c r="AJ122" i="1"/>
  <c r="B123" i="1"/>
  <c r="W123" i="1"/>
  <c r="Y123" i="1"/>
  <c r="Z123" i="1"/>
  <c r="AA123" i="1"/>
  <c r="AB123" i="1"/>
  <c r="AC123" i="1"/>
  <c r="AD123" i="1"/>
  <c r="AE123" i="1"/>
  <c r="AG123" i="1"/>
  <c r="AH123" i="1"/>
  <c r="AI123" i="1"/>
  <c r="AJ123" i="1"/>
  <c r="B124" i="1"/>
  <c r="W124" i="1"/>
  <c r="Y124" i="1"/>
  <c r="Z124" i="1"/>
  <c r="AA124" i="1"/>
  <c r="AB124" i="1"/>
  <c r="AC124" i="1"/>
  <c r="AD124" i="1"/>
  <c r="AE124" i="1"/>
  <c r="AG124" i="1"/>
  <c r="AH124" i="1"/>
  <c r="AI124" i="1"/>
  <c r="AJ124" i="1"/>
  <c r="B125" i="1"/>
  <c r="W125" i="1"/>
  <c r="Y125" i="1"/>
  <c r="Z125" i="1"/>
  <c r="AA125" i="1"/>
  <c r="AB125" i="1"/>
  <c r="AC125" i="1"/>
  <c r="AD125" i="1"/>
  <c r="AE125" i="1"/>
  <c r="AG125" i="1"/>
  <c r="AH125" i="1"/>
  <c r="AJ125" i="1"/>
  <c r="B126" i="1"/>
  <c r="W126" i="1"/>
  <c r="Y126" i="1"/>
  <c r="Z126" i="1"/>
  <c r="AA126" i="1"/>
  <c r="AB126" i="1"/>
  <c r="AC126" i="1"/>
  <c r="AD126" i="1"/>
  <c r="AE126" i="1"/>
  <c r="AG126" i="1"/>
  <c r="AH126" i="1"/>
  <c r="AI126" i="1"/>
  <c r="AJ126" i="1"/>
  <c r="B127" i="1"/>
  <c r="W127" i="1"/>
  <c r="Y127" i="1"/>
  <c r="Z127" i="1"/>
  <c r="AA127" i="1"/>
  <c r="AB127" i="1"/>
  <c r="AC127" i="1"/>
  <c r="AD127" i="1"/>
  <c r="AE127" i="1"/>
  <c r="AG127" i="1"/>
  <c r="AH127" i="1"/>
  <c r="AI127" i="1"/>
  <c r="AJ127" i="1"/>
  <c r="B128" i="1"/>
  <c r="W128" i="1"/>
  <c r="Y128" i="1"/>
  <c r="Z128" i="1"/>
  <c r="AA128" i="1"/>
  <c r="AB128" i="1"/>
  <c r="AC128" i="1"/>
  <c r="AD128" i="1"/>
  <c r="AE128" i="1"/>
  <c r="AG128" i="1"/>
  <c r="AH128" i="1"/>
  <c r="AI128" i="1"/>
  <c r="AJ128" i="1"/>
  <c r="B129" i="1"/>
  <c r="W129" i="1"/>
  <c r="Y129" i="1"/>
  <c r="Z129" i="1"/>
  <c r="AA129" i="1"/>
  <c r="AB129" i="1"/>
  <c r="AC129" i="1"/>
  <c r="AD129" i="1"/>
  <c r="AE129" i="1"/>
  <c r="AG129" i="1"/>
  <c r="AH129" i="1"/>
  <c r="AI129" i="1"/>
  <c r="AJ129" i="1"/>
  <c r="B130" i="1"/>
  <c r="W130" i="1"/>
  <c r="Y130" i="1"/>
  <c r="Z130" i="1"/>
  <c r="AA130" i="1"/>
  <c r="AB130" i="1"/>
  <c r="AC130" i="1"/>
  <c r="AD130" i="1"/>
  <c r="AE130" i="1"/>
  <c r="AG130" i="1"/>
  <c r="AH130" i="1"/>
  <c r="AI130" i="1"/>
  <c r="AJ130" i="1"/>
  <c r="B131" i="1"/>
  <c r="W131" i="1"/>
  <c r="Y131" i="1"/>
  <c r="Z131" i="1"/>
  <c r="AA131" i="1"/>
  <c r="AB131" i="1"/>
  <c r="AC131" i="1"/>
  <c r="AD131" i="1"/>
  <c r="AE131" i="1"/>
  <c r="AG131" i="1"/>
  <c r="AH131" i="1"/>
  <c r="AI131" i="1"/>
  <c r="AJ131" i="1"/>
  <c r="B132" i="1"/>
  <c r="W132" i="1"/>
  <c r="Y132" i="1"/>
  <c r="Z132" i="1"/>
  <c r="AA132" i="1"/>
  <c r="AB132" i="1"/>
  <c r="AC132" i="1"/>
  <c r="AD132" i="1"/>
  <c r="AE132" i="1"/>
  <c r="AG132" i="1"/>
  <c r="AH132" i="1"/>
  <c r="AI132" i="1"/>
  <c r="AJ132" i="1"/>
  <c r="B133" i="1"/>
  <c r="W133" i="1"/>
  <c r="Y133" i="1"/>
  <c r="Z133" i="1"/>
  <c r="AA133" i="1"/>
  <c r="AB133" i="1"/>
  <c r="AC133" i="1"/>
  <c r="AD133" i="1"/>
  <c r="AE133" i="1"/>
  <c r="AG133" i="1"/>
  <c r="AH133" i="1"/>
  <c r="AI133" i="1"/>
  <c r="AJ133" i="1"/>
  <c r="B134" i="1"/>
  <c r="W134" i="1"/>
  <c r="Y134" i="1"/>
  <c r="Z134" i="1"/>
  <c r="AA134" i="1"/>
  <c r="AB134" i="1"/>
  <c r="AC134" i="1"/>
  <c r="AD134" i="1"/>
  <c r="AE134" i="1"/>
  <c r="AG134" i="1"/>
  <c r="AH134" i="1"/>
  <c r="AI134" i="1"/>
  <c r="AJ134" i="1"/>
  <c r="B135" i="1"/>
  <c r="W135" i="1"/>
  <c r="Y135" i="1"/>
  <c r="Z135" i="1"/>
  <c r="AA135" i="1"/>
  <c r="AB135" i="1"/>
  <c r="AC135" i="1"/>
  <c r="AD135" i="1"/>
  <c r="AE135" i="1"/>
  <c r="AG135" i="1"/>
  <c r="AH135" i="1"/>
  <c r="AI135" i="1"/>
  <c r="AJ135" i="1"/>
  <c r="B136" i="1"/>
  <c r="W136" i="1"/>
  <c r="Y136" i="1"/>
  <c r="Z136" i="1"/>
  <c r="AA136" i="1"/>
  <c r="AB136" i="1"/>
  <c r="AC136" i="1"/>
  <c r="AD136" i="1"/>
  <c r="AE136" i="1"/>
  <c r="AG136" i="1"/>
  <c r="AH136" i="1"/>
  <c r="AI136" i="1"/>
  <c r="AJ136" i="1"/>
  <c r="B137" i="1"/>
  <c r="W137" i="1"/>
  <c r="Y137" i="1"/>
  <c r="Z137" i="1"/>
  <c r="AA137" i="1"/>
  <c r="AB137" i="1"/>
  <c r="AC137" i="1"/>
  <c r="AD137" i="1"/>
  <c r="AE137" i="1"/>
  <c r="AG137" i="1"/>
  <c r="AH137" i="1"/>
  <c r="AI137" i="1"/>
  <c r="AJ137" i="1"/>
  <c r="B138" i="1"/>
  <c r="W138" i="1"/>
  <c r="Y138" i="1"/>
  <c r="Z138" i="1"/>
  <c r="AA138" i="1"/>
  <c r="AB138" i="1"/>
  <c r="AC138" i="1"/>
  <c r="AD138" i="1"/>
  <c r="AE138" i="1"/>
  <c r="AG138" i="1"/>
  <c r="AH138" i="1"/>
  <c r="AI138" i="1"/>
  <c r="AJ138" i="1"/>
  <c r="B139" i="1"/>
  <c r="W139" i="1"/>
  <c r="Y139" i="1"/>
  <c r="Z139" i="1"/>
  <c r="AA139" i="1"/>
  <c r="AB139" i="1"/>
  <c r="AC139" i="1"/>
  <c r="AD139" i="1"/>
  <c r="AE139" i="1"/>
  <c r="AG139" i="1"/>
  <c r="AH139" i="1"/>
  <c r="AI139" i="1"/>
  <c r="AJ139" i="1"/>
  <c r="B140" i="1"/>
  <c r="W140" i="1"/>
  <c r="Y140" i="1"/>
  <c r="Z140" i="1"/>
  <c r="AA140" i="1"/>
  <c r="AB140" i="1"/>
  <c r="AC140" i="1"/>
  <c r="AD140" i="1"/>
  <c r="AE140" i="1"/>
  <c r="AG140" i="1"/>
  <c r="AH140" i="1"/>
  <c r="AI140" i="1"/>
  <c r="AJ140" i="1"/>
  <c r="B141" i="1"/>
  <c r="W141" i="1"/>
  <c r="Y141" i="1"/>
  <c r="Z141" i="1"/>
  <c r="AA141" i="1"/>
  <c r="AB141" i="1"/>
  <c r="AC141" i="1"/>
  <c r="AD141" i="1"/>
  <c r="AE141" i="1"/>
  <c r="AG141" i="1"/>
  <c r="AH141" i="1"/>
  <c r="AJ141" i="1"/>
  <c r="B142" i="1"/>
  <c r="W142" i="1"/>
  <c r="Y142" i="1"/>
  <c r="Z142" i="1"/>
  <c r="AA142" i="1"/>
  <c r="AB142" i="1"/>
  <c r="AC142" i="1"/>
  <c r="AD142" i="1"/>
  <c r="AE142" i="1"/>
  <c r="AG142" i="1"/>
  <c r="AH142" i="1"/>
  <c r="AJ142" i="1"/>
  <c r="B143" i="1"/>
  <c r="W143" i="1"/>
  <c r="Y143" i="1"/>
  <c r="Z143" i="1"/>
  <c r="AA143" i="1"/>
  <c r="AB143" i="1"/>
  <c r="AC143" i="1"/>
  <c r="AD143" i="1"/>
  <c r="AE143" i="1"/>
  <c r="AG143" i="1"/>
  <c r="AH143" i="1"/>
  <c r="AI143" i="1"/>
  <c r="AJ143" i="1"/>
  <c r="B144" i="1"/>
  <c r="W144" i="1"/>
  <c r="Y144" i="1"/>
  <c r="Z144" i="1"/>
  <c r="AA144" i="1"/>
  <c r="AB144" i="1"/>
  <c r="AC144" i="1"/>
  <c r="AD144" i="1"/>
  <c r="AE144" i="1"/>
  <c r="AG144" i="1"/>
  <c r="AH144" i="1"/>
  <c r="AI144" i="1"/>
  <c r="AJ144" i="1"/>
  <c r="B145" i="1"/>
  <c r="W145" i="1"/>
  <c r="Y145" i="1"/>
  <c r="Z145" i="1"/>
  <c r="AA145" i="1"/>
  <c r="AB145" i="1"/>
  <c r="AC145" i="1"/>
  <c r="AD145" i="1"/>
  <c r="AE145" i="1"/>
  <c r="AG145" i="1"/>
  <c r="AH145" i="1"/>
  <c r="AI145" i="1"/>
  <c r="AJ145" i="1"/>
  <c r="B146" i="1"/>
  <c r="W146" i="1"/>
  <c r="Y146" i="1"/>
  <c r="Z146" i="1"/>
  <c r="AA146" i="1"/>
  <c r="AB146" i="1"/>
  <c r="AC146" i="1"/>
  <c r="AD146" i="1"/>
  <c r="AE146" i="1"/>
  <c r="AG146" i="1"/>
  <c r="AH146" i="1"/>
  <c r="AI146" i="1"/>
  <c r="AJ146" i="1"/>
  <c r="B147" i="1"/>
  <c r="W147" i="1"/>
  <c r="Y147" i="1"/>
  <c r="Z147" i="1"/>
  <c r="AA147" i="1"/>
  <c r="AB147" i="1"/>
  <c r="AC147" i="1"/>
  <c r="AD147" i="1"/>
  <c r="AE147" i="1"/>
  <c r="AG147" i="1"/>
  <c r="AH147" i="1"/>
  <c r="AJ147" i="1"/>
  <c r="B148" i="1"/>
  <c r="W148" i="1"/>
  <c r="Y148" i="1"/>
  <c r="Z148" i="1"/>
  <c r="AA148" i="1"/>
  <c r="AB148" i="1"/>
  <c r="AC148" i="1"/>
  <c r="AD148" i="1"/>
  <c r="AE148" i="1"/>
  <c r="AG148" i="1"/>
  <c r="AH148" i="1"/>
  <c r="AI148" i="1"/>
  <c r="AJ148" i="1"/>
  <c r="B149" i="1"/>
  <c r="W149" i="1"/>
  <c r="Y149" i="1"/>
  <c r="Z149" i="1"/>
  <c r="AA149" i="1"/>
  <c r="AB149" i="1"/>
  <c r="AC149" i="1"/>
  <c r="AD149" i="1"/>
  <c r="AE149" i="1"/>
  <c r="AG149" i="1"/>
  <c r="AH149" i="1"/>
  <c r="AI149" i="1"/>
  <c r="AJ149" i="1"/>
  <c r="B150" i="1"/>
  <c r="W150" i="1"/>
  <c r="Y150" i="1"/>
  <c r="Z150" i="1"/>
  <c r="AA150" i="1"/>
  <c r="AB150" i="1"/>
  <c r="AC150" i="1"/>
  <c r="AD150" i="1"/>
  <c r="AE150" i="1"/>
  <c r="AG150" i="1"/>
  <c r="AH150" i="1"/>
  <c r="AI150" i="1"/>
  <c r="AJ150" i="1"/>
  <c r="B151" i="1"/>
  <c r="W151" i="1"/>
  <c r="Y151" i="1"/>
  <c r="Z151" i="1"/>
  <c r="AA151" i="1"/>
  <c r="AB151" i="1"/>
  <c r="AC151" i="1"/>
  <c r="AD151" i="1"/>
  <c r="AE151" i="1"/>
  <c r="AG151" i="1"/>
  <c r="AH151" i="1"/>
  <c r="AI151" i="1"/>
  <c r="AJ151" i="1"/>
  <c r="B152" i="1"/>
  <c r="W152" i="1"/>
  <c r="Y152" i="1"/>
  <c r="Z152" i="1"/>
  <c r="AA152" i="1"/>
  <c r="AB152" i="1"/>
  <c r="AC152" i="1"/>
  <c r="AD152" i="1"/>
  <c r="AE152" i="1"/>
  <c r="AG152" i="1"/>
  <c r="AH152" i="1"/>
  <c r="AI152" i="1"/>
  <c r="AJ152" i="1"/>
  <c r="B153" i="1"/>
  <c r="W153" i="1"/>
  <c r="Y153" i="1"/>
  <c r="Z153" i="1"/>
  <c r="AA153" i="1"/>
  <c r="AB153" i="1"/>
  <c r="AC153" i="1"/>
  <c r="AD153" i="1"/>
  <c r="AE153" i="1"/>
  <c r="AG153" i="1"/>
  <c r="AH153" i="1"/>
  <c r="AI153" i="1"/>
  <c r="AJ153" i="1"/>
  <c r="B154" i="1"/>
  <c r="W154" i="1"/>
  <c r="Y154" i="1"/>
  <c r="Z154" i="1"/>
  <c r="AA154" i="1"/>
  <c r="AB154" i="1"/>
  <c r="AC154" i="1"/>
  <c r="AD154" i="1"/>
  <c r="AE154" i="1"/>
  <c r="AG154" i="1"/>
  <c r="AH154" i="1"/>
  <c r="AI154" i="1"/>
  <c r="AJ154" i="1"/>
  <c r="B155" i="1"/>
  <c r="W155" i="1"/>
  <c r="Y155" i="1"/>
  <c r="Z155" i="1"/>
  <c r="AA155" i="1"/>
  <c r="AB155" i="1"/>
  <c r="AC155" i="1"/>
  <c r="AD155" i="1"/>
  <c r="AE155" i="1"/>
  <c r="AG155" i="1"/>
  <c r="AH155" i="1"/>
  <c r="AI155" i="1"/>
  <c r="AJ155" i="1"/>
  <c r="B156" i="1"/>
  <c r="W156" i="1"/>
  <c r="Y156" i="1"/>
  <c r="Z156" i="1"/>
  <c r="AA156" i="1"/>
  <c r="AB156" i="1"/>
  <c r="AC156" i="1"/>
  <c r="AD156" i="1"/>
  <c r="AE156" i="1"/>
  <c r="AG156" i="1"/>
  <c r="AH156" i="1"/>
  <c r="AI156" i="1"/>
  <c r="AJ156" i="1"/>
  <c r="B157" i="1"/>
  <c r="W157" i="1"/>
  <c r="Y157" i="1"/>
  <c r="Z157" i="1"/>
  <c r="AA157" i="1"/>
  <c r="AB157" i="1"/>
  <c r="AC157" i="1"/>
  <c r="AD157" i="1"/>
  <c r="AE157" i="1"/>
  <c r="AG157" i="1"/>
  <c r="AH157" i="1"/>
  <c r="AI157" i="1"/>
  <c r="AJ157" i="1"/>
  <c r="B158" i="1"/>
  <c r="W158" i="1"/>
  <c r="Y158" i="1"/>
  <c r="Z158" i="1"/>
  <c r="AA158" i="1"/>
  <c r="AB158" i="1"/>
  <c r="AC158" i="1"/>
  <c r="AD158" i="1"/>
  <c r="AE158" i="1"/>
  <c r="AG158" i="1"/>
  <c r="AH158" i="1"/>
  <c r="AI158" i="1"/>
  <c r="AJ158" i="1"/>
  <c r="B159" i="1"/>
  <c r="W159" i="1"/>
  <c r="Y159" i="1"/>
  <c r="Z159" i="1"/>
  <c r="AA159" i="1"/>
  <c r="AB159" i="1"/>
  <c r="AC159" i="1"/>
  <c r="AD159" i="1"/>
  <c r="AE159" i="1"/>
  <c r="AG159" i="1"/>
  <c r="AH159" i="1"/>
  <c r="AI159" i="1"/>
  <c r="AJ159" i="1"/>
  <c r="B160" i="1"/>
  <c r="W160" i="1"/>
  <c r="Y160" i="1"/>
  <c r="Z160" i="1"/>
  <c r="AA160" i="1"/>
  <c r="AB160" i="1"/>
  <c r="AC160" i="1"/>
  <c r="AD160" i="1"/>
  <c r="AE160" i="1"/>
  <c r="AG160" i="1"/>
  <c r="AH160" i="1"/>
  <c r="AI160" i="1"/>
  <c r="AJ160" i="1"/>
  <c r="B161" i="1"/>
  <c r="W161" i="1"/>
  <c r="Y161" i="1"/>
  <c r="Z161" i="1"/>
  <c r="AA161" i="1"/>
  <c r="AB161" i="1"/>
  <c r="AC161" i="1"/>
  <c r="AD161" i="1"/>
  <c r="AE161" i="1"/>
  <c r="AG161" i="1"/>
  <c r="AH161" i="1"/>
  <c r="AI161" i="1"/>
  <c r="AJ161" i="1"/>
  <c r="B162" i="1"/>
  <c r="W162" i="1"/>
  <c r="Y162" i="1"/>
  <c r="Z162" i="1"/>
  <c r="AA162" i="1"/>
  <c r="AB162" i="1"/>
  <c r="AC162" i="1"/>
  <c r="AD162" i="1"/>
  <c r="AE162" i="1"/>
  <c r="AG162" i="1"/>
  <c r="AH162" i="1"/>
  <c r="AI162" i="1"/>
  <c r="AJ162" i="1"/>
  <c r="B163" i="1"/>
  <c r="W163" i="1"/>
  <c r="Y163" i="1"/>
  <c r="Z163" i="1"/>
  <c r="AA163" i="1"/>
  <c r="AB163" i="1"/>
  <c r="AC163" i="1"/>
  <c r="AD163" i="1"/>
  <c r="AE163" i="1"/>
  <c r="AG163" i="1"/>
  <c r="AH163" i="1"/>
  <c r="AJ163" i="1"/>
  <c r="B164" i="1"/>
  <c r="W164" i="1"/>
  <c r="Y164" i="1"/>
  <c r="Z164" i="1"/>
  <c r="AA164" i="1"/>
  <c r="AB164" i="1"/>
  <c r="AC164" i="1"/>
  <c r="AD164" i="1"/>
  <c r="AE164" i="1"/>
  <c r="AG164" i="1"/>
  <c r="AH164" i="1"/>
  <c r="AI164" i="1"/>
  <c r="AJ164" i="1"/>
  <c r="B165" i="1"/>
  <c r="W165" i="1"/>
  <c r="Y165" i="1"/>
  <c r="Z165" i="1"/>
  <c r="AA165" i="1"/>
  <c r="AB165" i="1"/>
  <c r="AC165" i="1"/>
  <c r="AD165" i="1"/>
  <c r="AE165" i="1"/>
  <c r="AG165" i="1"/>
  <c r="AH165" i="1"/>
  <c r="AI165" i="1"/>
  <c r="AJ165" i="1"/>
  <c r="B166" i="1"/>
  <c r="W166" i="1"/>
  <c r="Y166" i="1"/>
  <c r="Z166" i="1"/>
  <c r="AA166" i="1"/>
  <c r="AB166" i="1"/>
  <c r="AC166" i="1"/>
  <c r="AD166" i="1"/>
  <c r="AE166" i="1"/>
  <c r="AG166" i="1"/>
  <c r="AH166" i="1"/>
  <c r="AJ166" i="1"/>
</calcChain>
</file>

<file path=xl/sharedStrings.xml><?xml version="1.0" encoding="utf-8"?>
<sst xmlns="http://schemas.openxmlformats.org/spreadsheetml/2006/main" count="3005" uniqueCount="616">
  <si>
    <t>Caution: This is a preliminary report. It provides immediate access to event data before the final report becomes available. When the final report is available, event data appears only in the final report, not in the preliminary report.</t>
  </si>
  <si>
    <t xml:space="preserve">Attendance Count  </t>
  </si>
  <si>
    <t xml:space="preserve">Event ID  </t>
  </si>
  <si>
    <t xml:space="preserve">Event Key  </t>
  </si>
  <si>
    <t xml:space="preserve">Program Name  </t>
  </si>
  <si>
    <t xml:space="preserve">Event Name  </t>
  </si>
  <si>
    <t xml:space="preserve">Event Start Date  </t>
  </si>
  <si>
    <t xml:space="preserve">Event Start Time  </t>
  </si>
  <si>
    <t xml:space="preserve">Event End Time  </t>
  </si>
  <si>
    <t xml:space="preserve">Event/Recording Duration  </t>
  </si>
  <si>
    <t xml:space="preserve">User Type  </t>
  </si>
  <si>
    <t xml:space="preserve">FirstName  </t>
  </si>
  <si>
    <t xml:space="preserve">LastName  </t>
  </si>
  <si>
    <t xml:space="preserve">Email  </t>
  </si>
  <si>
    <t xml:space="preserve">Invited  </t>
  </si>
  <si>
    <t xml:space="preserve">Registered  </t>
  </si>
  <si>
    <t xml:space="preserve">Attended  </t>
  </si>
  <si>
    <t xml:space="preserve">Join Time  </t>
  </si>
  <si>
    <t xml:space="preserve">Lead Source ID  </t>
  </si>
  <si>
    <t xml:space="preserve">Registration Date/Time  </t>
  </si>
  <si>
    <t xml:space="preserve">Registration ID  </t>
  </si>
  <si>
    <t xml:space="preserve">Registration Score  </t>
  </si>
  <si>
    <t xml:space="preserve">Okay to send email  </t>
  </si>
  <si>
    <t xml:space="preserve">Title  </t>
  </si>
  <si>
    <t xml:space="preserve">Number of Employees  </t>
  </si>
  <si>
    <t xml:space="preserve">Company  </t>
  </si>
  <si>
    <t xml:space="preserve">Phone  </t>
  </si>
  <si>
    <t xml:space="preserve">Address 1  </t>
  </si>
  <si>
    <t xml:space="preserve">Address 2  </t>
  </si>
  <si>
    <t xml:space="preserve">City  </t>
  </si>
  <si>
    <t xml:space="preserve">State/Province  </t>
  </si>
  <si>
    <t xml:space="preserve">Postal/Zip Code  </t>
  </si>
  <si>
    <t xml:space="preserve">Country/Region  </t>
  </si>
  <si>
    <t xml:space="preserve">Bonding Capacity per project?  </t>
  </si>
  <si>
    <t xml:space="preserve">Trade Specialization  </t>
  </si>
  <si>
    <t xml:space="preserve">JOCs  </t>
  </si>
  <si>
    <t xml:space="preserve">Bonding capacity aggregate?  </t>
  </si>
  <si>
    <t xml:space="preserve">  </t>
  </si>
  <si>
    <t>DASNY JOCs Pre-Bid Meeting</t>
  </si>
  <si>
    <t>August 25, 2021 New York Time</t>
  </si>
  <si>
    <t>10:00 am New York Time</t>
  </si>
  <si>
    <t>12:30 pm New York Time</t>
  </si>
  <si>
    <t>150.0 mins</t>
  </si>
  <si>
    <t>Attendee</t>
  </si>
  <si>
    <t>Anu</t>
  </si>
  <si>
    <t>K</t>
  </si>
  <si>
    <t>anu@geo-matrix.com</t>
  </si>
  <si>
    <t>No</t>
  </si>
  <si>
    <t>Yes</t>
  </si>
  <si>
    <t>9:55 am New York Time</t>
  </si>
  <si>
    <t>August 19, 2021 1:05 pm New York Time</t>
  </si>
  <si>
    <t>United States of America</t>
  </si>
  <si>
    <t>Is your firm a Certified MBE?|Is your firm currently a DASNY JOC Contractor?|Trade contract you are interested in bidding (use semi-colon to seperate each listing)|Has your firm worked on DASNY projects as a prime or sub-contractor?|Has your firm bid on DASNY JOC contract soliciations?</t>
  </si>
  <si>
    <t>Miguel</t>
  </si>
  <si>
    <t>EAST PATCHOGUE</t>
  </si>
  <si>
    <t>miguel@allacescorp.com</t>
  </si>
  <si>
    <t>9:54 am New York Time</t>
  </si>
  <si>
    <t>August 23, 2021 9:55 am New York Time</t>
  </si>
  <si>
    <t>Kris</t>
  </si>
  <si>
    <t>Frederick</t>
  </si>
  <si>
    <t>kfrederick@wpa-works.com</t>
  </si>
  <si>
    <t>9:47 am New York Time</t>
  </si>
  <si>
    <t>August 2, 2021 4:59 pm New York Time</t>
  </si>
  <si>
    <t>Estimation</t>
  </si>
  <si>
    <t>Dept</t>
  </si>
  <si>
    <t>info@cubecsllc.com</t>
  </si>
  <si>
    <t>9:58 am New York Time</t>
  </si>
  <si>
    <t>August 24, 2021 9:05 pm New York Time</t>
  </si>
  <si>
    <t>Harkant</t>
  </si>
  <si>
    <t>Mehta</t>
  </si>
  <si>
    <t>hm@kantaelectric.com</t>
  </si>
  <si>
    <t>August 6, 2021 10:16 am New York Time</t>
  </si>
  <si>
    <t>Krutarth</t>
  </si>
  <si>
    <t>Jagad</t>
  </si>
  <si>
    <t>kjagad@diageneralconstruction.com</t>
  </si>
  <si>
    <t>August 10, 2021 11:34 am New York Time</t>
  </si>
  <si>
    <t>Francis</t>
  </si>
  <si>
    <t>Asamani</t>
  </si>
  <si>
    <t>minhasgcc@gmail.com</t>
  </si>
  <si>
    <t>10:02 am New York Time</t>
  </si>
  <si>
    <t>August 24, 2021 5:26 pm New York Time</t>
  </si>
  <si>
    <t>Ivana</t>
  </si>
  <si>
    <t>Kostic</t>
  </si>
  <si>
    <t>ikostic@lhparch.com</t>
  </si>
  <si>
    <t>10:01 am New York Time</t>
  </si>
  <si>
    <t>August 11, 2021 11:49 am New York Time</t>
  </si>
  <si>
    <t>Dimitri</t>
  </si>
  <si>
    <t>Sidiropoulos</t>
  </si>
  <si>
    <t>estimating@delphiph.com</t>
  </si>
  <si>
    <t>August 24, 2021 8:11 am New York Time</t>
  </si>
  <si>
    <t>Max</t>
  </si>
  <si>
    <t>Mangin</t>
  </si>
  <si>
    <t>max@axisystem.com</t>
  </si>
  <si>
    <t>9:59 am New York Time</t>
  </si>
  <si>
    <t>August 25, 2021 9:59 am New York Time</t>
  </si>
  <si>
    <t>Cher</t>
  </si>
  <si>
    <t>Parker</t>
  </si>
  <si>
    <t>cparker@dasny.org</t>
  </si>
  <si>
    <t>10:13 am New York Time</t>
  </si>
  <si>
    <t>c724fb825280c6d0e0534a8bfc0a525b</t>
  </si>
  <si>
    <t>August 25, 2021 10:05 am New York Time</t>
  </si>
  <si>
    <t>Eugene</t>
  </si>
  <si>
    <t>Reyes</t>
  </si>
  <si>
    <t>ereyes@projecteyeinc.com</t>
  </si>
  <si>
    <t>9:57 am New York Time</t>
  </si>
  <si>
    <t>August 25, 2021 9:57 am New York Time</t>
  </si>
  <si>
    <t>Panelist</t>
  </si>
  <si>
    <t>Michael</t>
  </si>
  <si>
    <t>Clay</t>
  </si>
  <si>
    <t>mclay@dasny.org</t>
  </si>
  <si>
    <t>10:59 am New York Time</t>
  </si>
  <si>
    <t>August 25, 2021 8:39 am New York Time</t>
  </si>
  <si>
    <t>Devendra</t>
  </si>
  <si>
    <t>Narasenakuppe</t>
  </si>
  <si>
    <t>drlservices8@gmail.com</t>
  </si>
  <si>
    <t>9:51 am New York Time</t>
  </si>
  <si>
    <t>August 3, 2021 10:05 am New York Time</t>
  </si>
  <si>
    <t>VIVEK</t>
  </si>
  <si>
    <t>SHARMA</t>
  </si>
  <si>
    <t>viveks@cubecsllc.com</t>
  </si>
  <si>
    <t>August 24, 2021 10:58 am New York Time</t>
  </si>
  <si>
    <t>christopher</t>
  </si>
  <si>
    <t>baumert</t>
  </si>
  <si>
    <t>cbaumert@necny.net</t>
  </si>
  <si>
    <t>10:28 am New York Time</t>
  </si>
  <si>
    <t>August 3, 2021 6:47 pm New York Time</t>
  </si>
  <si>
    <t>Marilyn</t>
  </si>
  <si>
    <t>Fountain</t>
  </si>
  <si>
    <t>mfountai@dasny.org</t>
  </si>
  <si>
    <t>9:44 am New York Time</t>
  </si>
  <si>
    <t>August 23, 2021 2:40 pm New York Time</t>
  </si>
  <si>
    <t>500-1500</t>
  </si>
  <si>
    <t>Sasikanth</t>
  </si>
  <si>
    <t>Simhadri</t>
  </si>
  <si>
    <t>gspan4@gmail.com</t>
  </si>
  <si>
    <t>August 24, 2021 2:47 pm New York Time</t>
  </si>
  <si>
    <t>Ian</t>
  </si>
  <si>
    <t>Bharatlall</t>
  </si>
  <si>
    <t>ian@uglcorpny.com</t>
  </si>
  <si>
    <t>August 24, 2021 11:33 am New York Time</t>
  </si>
  <si>
    <t>Pradeep</t>
  </si>
  <si>
    <t>Kumar</t>
  </si>
  <si>
    <t>pradeepk@skcminc.com</t>
  </si>
  <si>
    <t>9:56 am New York Time</t>
  </si>
  <si>
    <t>August 18, 2021 4:39 pm New York Time</t>
  </si>
  <si>
    <t>Samir Patel</t>
  </si>
  <si>
    <t>Matawan</t>
  </si>
  <si>
    <t>spatel@sierramechanical.net</t>
  </si>
  <si>
    <t>August 5, 2021 8:30 am New York Time</t>
  </si>
  <si>
    <t>Tom</t>
  </si>
  <si>
    <t>Christian</t>
  </si>
  <si>
    <t>tchristian@dasny.org</t>
  </si>
  <si>
    <t>10:51 am New York Time</t>
  </si>
  <si>
    <t>August 25, 2021 10:51 am New York Time</t>
  </si>
  <si>
    <t>Is your firm a NYS Certified WBE?|Is your firm a Certified MBE?|Is your firm a NYS Certified SVDOB?|Is your firm currently a DASNY JOC Contractor?|Trade contract you are interested in bidding (use semi-colon to seperate each listing)|Has your firm worked on DASNY projects as a prime or sub-contractor?|Has your firm bid on DASNY JOC contract soliciations?</t>
  </si>
  <si>
    <t>Adriel</t>
  </si>
  <si>
    <t>Pratt</t>
  </si>
  <si>
    <t>apratt@fyahworksinc.com</t>
  </si>
  <si>
    <t>10:23 am New York Time</t>
  </si>
  <si>
    <t>August 11, 2021 12:53 pm New York Time</t>
  </si>
  <si>
    <t>Hal</t>
  </si>
  <si>
    <t>Ozkurt</t>
  </si>
  <si>
    <t>office@gemininyc.com</t>
  </si>
  <si>
    <t>10:36 am New York Time</t>
  </si>
  <si>
    <t>August 24, 2021 11:34 am New York Time</t>
  </si>
  <si>
    <t>Ricky</t>
  </si>
  <si>
    <t>Chan</t>
  </si>
  <si>
    <t>rchan@rj-enterprises.com</t>
  </si>
  <si>
    <t>9:53 am New York Time</t>
  </si>
  <si>
    <t>August 23, 2021 12:46 pm New York Time</t>
  </si>
  <si>
    <t>Albert</t>
  </si>
  <si>
    <t>Jamaica</t>
  </si>
  <si>
    <t>exquisiteconstructioncorp@gmail.com</t>
  </si>
  <si>
    <t>10:04 am New York Time</t>
  </si>
  <si>
    <t>August 16, 2021 2:44 pm New York Time</t>
  </si>
  <si>
    <t>Muhammad</t>
  </si>
  <si>
    <t>Saleem</t>
  </si>
  <si>
    <t>msaleem@rph.nyc</t>
  </si>
  <si>
    <t>August 25, 2021 7:15 am New York Time</t>
  </si>
  <si>
    <t>100-499</t>
  </si>
  <si>
    <t>Louis</t>
  </si>
  <si>
    <t>Revithas</t>
  </si>
  <si>
    <t>louis@planetmechanical.com</t>
  </si>
  <si>
    <t>9:43 am New York Time</t>
  </si>
  <si>
    <t>August 19, 2021 1:49 pm New York Time</t>
  </si>
  <si>
    <t>Dwight</t>
  </si>
  <si>
    <t>Sibblies</t>
  </si>
  <si>
    <t>rpgc.corp@gmail.com</t>
  </si>
  <si>
    <t>August 23, 2021 12:15 pm New York Time</t>
  </si>
  <si>
    <t>Victor</t>
  </si>
  <si>
    <t>Han</t>
  </si>
  <si>
    <t>vkhpera@msn.com</t>
  </si>
  <si>
    <t>10:06 am New York Time</t>
  </si>
  <si>
    <t>August 23, 2021 4:26 pm New York Time</t>
  </si>
  <si>
    <t>ramanuja</t>
  </si>
  <si>
    <t>Manam</t>
  </si>
  <si>
    <t>ramanuja@ashnuinternational.com</t>
  </si>
  <si>
    <t>9:11 am New York Time</t>
  </si>
  <si>
    <t>August 23, 2021 2:07 pm New York Time</t>
  </si>
  <si>
    <t>Sandra</t>
  </si>
  <si>
    <t>Cirrincione</t>
  </si>
  <si>
    <t>sandra@generationelectricalsupply.com</t>
  </si>
  <si>
    <t>11:08 am New York Time</t>
  </si>
  <si>
    <t>August 13, 2021 10:08 am New York Time</t>
  </si>
  <si>
    <t>Hillary</t>
  </si>
  <si>
    <t>Frisbie</t>
  </si>
  <si>
    <t>h.frisbie@gordian.com</t>
  </si>
  <si>
    <t>August 5, 2021 10:21 am New York Time</t>
  </si>
  <si>
    <t>1500+</t>
  </si>
  <si>
    <t>10:05 am New York Time</t>
  </si>
  <si>
    <t>Joslin</t>
  </si>
  <si>
    <t>Johnson</t>
  </si>
  <si>
    <t>wtgisllc@gmail.com</t>
  </si>
  <si>
    <t>12:03 pm New York Time</t>
  </si>
  <si>
    <t>August 9, 2021 6:37 am New York Time</t>
  </si>
  <si>
    <t>Ira</t>
  </si>
  <si>
    <t>Mocanu</t>
  </si>
  <si>
    <t>imocanu@atjelectrical.com</t>
  </si>
  <si>
    <t>August 18, 2021 10:06 am New York Time</t>
  </si>
  <si>
    <t>12:10 pm New York Time</t>
  </si>
  <si>
    <t>Valentina</t>
  </si>
  <si>
    <t>Long Island City</t>
  </si>
  <si>
    <t>vbulgakova@eia.us</t>
  </si>
  <si>
    <t>August 24, 2021 3:45 pm New York Time</t>
  </si>
  <si>
    <t>Ingrid</t>
  </si>
  <si>
    <t>Boney</t>
  </si>
  <si>
    <t>iboney@outlook.com</t>
  </si>
  <si>
    <t>10:16 am New York Time</t>
  </si>
  <si>
    <t>August 11, 2021 1:57 pm New York Time</t>
  </si>
  <si>
    <t>Asad</t>
  </si>
  <si>
    <t>BROOKLYN</t>
  </si>
  <si>
    <t>ali@nbaconstructioninc.com</t>
  </si>
  <si>
    <t>10:30 am New York Time</t>
  </si>
  <si>
    <t>August 2, 2021 5:15 pm New York Time</t>
  </si>
  <si>
    <t>Zach</t>
  </si>
  <si>
    <t>McGhee</t>
  </si>
  <si>
    <t>zmcg@bedfordlm.com</t>
  </si>
  <si>
    <t>August 17, 2021 7:12 pm New York Time</t>
  </si>
  <si>
    <t>9:06 am New York Time</t>
  </si>
  <si>
    <t>Vicki</t>
  </si>
  <si>
    <t>Spring</t>
  </si>
  <si>
    <t>vspring@springelectric.biz</t>
  </si>
  <si>
    <t>10:03 am New York Time</t>
  </si>
  <si>
    <t>August 12, 2021 8:08 am New York Time</t>
  </si>
  <si>
    <t>Allan</t>
  </si>
  <si>
    <t>Li</t>
  </si>
  <si>
    <t>ali@atechelectric.com</t>
  </si>
  <si>
    <t>August 5, 2021 11:46 am New York Time</t>
  </si>
  <si>
    <t>Is your firm a NYS Certified WBE?|Is your firm a Certified MBE?|Is your firm currently a DASNY JOC Contractor?|Trade contract you are interested in bidding (use semi-colon to seperate each listing)|Has your firm worked on DASNY projects as a prime or sub-contractor?|Has your firm bid on DASNY JOC contract soliciations?</t>
  </si>
  <si>
    <t>Reuben</t>
  </si>
  <si>
    <t>Mcdaniel</t>
  </si>
  <si>
    <t>rmcdaniel@dasny.org</t>
  </si>
  <si>
    <t>August 25, 2021 10:04 am New York Time</t>
  </si>
  <si>
    <t>Leoncio</t>
  </si>
  <si>
    <t>lercoelect@yahoo.com</t>
  </si>
  <si>
    <t>10:10 am New York Time</t>
  </si>
  <si>
    <t>August 13, 2021 10:18 am New York Time</t>
  </si>
  <si>
    <t>Gilberto</t>
  </si>
  <si>
    <t>Padilla</t>
  </si>
  <si>
    <t>gilbert@agaenvironmental.com</t>
  </si>
  <si>
    <t>10:09 am New York Time</t>
  </si>
  <si>
    <t>August 23, 2021 11:20 am New York Time</t>
  </si>
  <si>
    <t>Mohammed</t>
  </si>
  <si>
    <t>Hossain</t>
  </si>
  <si>
    <t>mohammedh363@yahoo.com</t>
  </si>
  <si>
    <t>August 18, 2021 9:27 pm New York Time</t>
  </si>
  <si>
    <t>James</t>
  </si>
  <si>
    <t>Lyons</t>
  </si>
  <si>
    <t>jlyons@1starnetworks.com</t>
  </si>
  <si>
    <t>August 24, 2021 9:10 am New York Time</t>
  </si>
  <si>
    <t>Richard</t>
  </si>
  <si>
    <t>Turchiano</t>
  </si>
  <si>
    <t>rturchiano@rph.nyc</t>
  </si>
  <si>
    <t>August 24, 2021 7:03 pm New York Time</t>
  </si>
  <si>
    <t>Giovanni</t>
  </si>
  <si>
    <t>Napolitano</t>
  </si>
  <si>
    <t>gianni@gtxconstruction.com</t>
  </si>
  <si>
    <t>August 2, 2021 10:21 am New York Time</t>
  </si>
  <si>
    <t>Kamran</t>
  </si>
  <si>
    <t>New York</t>
  </si>
  <si>
    <t>rkbestinc@gmail.com</t>
  </si>
  <si>
    <t>9:42 am New York Time</t>
  </si>
  <si>
    <t>August 4, 2021 1:36 pm New York Time</t>
  </si>
  <si>
    <t>Sherwin</t>
  </si>
  <si>
    <t>Greene</t>
  </si>
  <si>
    <t>sezekcolelectric@outlook.com</t>
  </si>
  <si>
    <t>9:34 am New York Time</t>
  </si>
  <si>
    <t>August 3, 2021 9:45 am New York Time</t>
  </si>
  <si>
    <t>9:40 am New York Time</t>
  </si>
  <si>
    <t>Kyrian</t>
  </si>
  <si>
    <t>Ojibe</t>
  </si>
  <si>
    <t>kyrians@att.net</t>
  </si>
  <si>
    <t>August 8, 2021 12:38 pm New York Time</t>
  </si>
  <si>
    <t>Glenda</t>
  </si>
  <si>
    <t>Rochester</t>
  </si>
  <si>
    <t>gmiller@cascosystems.com</t>
  </si>
  <si>
    <t>August 3, 2021 1:21 pm New York Time</t>
  </si>
  <si>
    <t>Jeffrey</t>
  </si>
  <si>
    <t>VanAuken</t>
  </si>
  <si>
    <t>sjs.plumbing.hvac@gmail.com</t>
  </si>
  <si>
    <t>August 4, 2021 11:09 am New York Time</t>
  </si>
  <si>
    <t>Dhurv</t>
  </si>
  <si>
    <t>Shah</t>
  </si>
  <si>
    <t>dhruv@klkelectric.com</t>
  </si>
  <si>
    <t>August 23, 2021 10:12 am New York Time</t>
  </si>
  <si>
    <t>Brian</t>
  </si>
  <si>
    <t>Swiatek</t>
  </si>
  <si>
    <t>bswiatek@willettbuilders.com</t>
  </si>
  <si>
    <t>August 18, 2021 10:00 am New York Time</t>
  </si>
  <si>
    <t>Is your firm currently a DASNY JOC Contractor?|Trade contract you are interested in bidding (use semi-colon to seperate each listing)|Has your firm worked on DASNY projects as a prime or sub-contractor?|Has your firm bid on DASNY JOC contract soliciations?</t>
  </si>
  <si>
    <t>JEAN</t>
  </si>
  <si>
    <t>FLUSHING</t>
  </si>
  <si>
    <t>coremepjean@gmail.com</t>
  </si>
  <si>
    <t>10:22 am New York Time</t>
  </si>
  <si>
    <t>August 11, 2021 12:09 pm New York Time</t>
  </si>
  <si>
    <t>Jahid</t>
  </si>
  <si>
    <t>Minto</t>
  </si>
  <si>
    <t>jminto@zamanconstruction.com</t>
  </si>
  <si>
    <t>August 6, 2021 5:02 pm New York Time</t>
  </si>
  <si>
    <t>Arendse</t>
  </si>
  <si>
    <t>Paige</t>
  </si>
  <si>
    <t>arendsep@nicholsonandgalloway.com</t>
  </si>
  <si>
    <t>August 25, 2021 7:54 am New York Time</t>
  </si>
  <si>
    <t>Bob</t>
  </si>
  <si>
    <t>Singh</t>
  </si>
  <si>
    <t>bsingh@iaqsys.com</t>
  </si>
  <si>
    <t>August 2, 2021 4:52 pm New York Time</t>
  </si>
  <si>
    <t>Russelli</t>
  </si>
  <si>
    <t>louis@proconnyc.com</t>
  </si>
  <si>
    <t>9:52 am New York Time</t>
  </si>
  <si>
    <t>August 3, 2021 9:41 am New York Time</t>
  </si>
  <si>
    <t>Donald</t>
  </si>
  <si>
    <t>Walton</t>
  </si>
  <si>
    <t>rsw90@frontier.com</t>
  </si>
  <si>
    <t>August 24, 2021 10:08 am New York Time</t>
  </si>
  <si>
    <t>Joseph candella</t>
  </si>
  <si>
    <t>Candella</t>
  </si>
  <si>
    <t>jcandella@broadwaycg.com</t>
  </si>
  <si>
    <t>August 2, 2021 4:37 pm New York Time</t>
  </si>
  <si>
    <t>Kevin</t>
  </si>
  <si>
    <t>Zomek</t>
  </si>
  <si>
    <t>k.zomek@gordian.com</t>
  </si>
  <si>
    <t>August 4, 2021 6:57 pm New York Time</t>
  </si>
  <si>
    <t>jody</t>
  </si>
  <si>
    <t>Hauppauge</t>
  </si>
  <si>
    <t>jgarofolo@gsqelectric.com</t>
  </si>
  <si>
    <t>10:08 am New York Time</t>
  </si>
  <si>
    <t>August 4, 2021 8:41 am New York Time</t>
  </si>
  <si>
    <t>Hunzah</t>
  </si>
  <si>
    <t>astoria</t>
  </si>
  <si>
    <t>ch.co.inc@hotmail.com</t>
  </si>
  <si>
    <t>August 25, 2021 10:03 am New York Time</t>
  </si>
  <si>
    <t>JOC</t>
  </si>
  <si>
    <t>Meeting</t>
  </si>
  <si>
    <t>jocadmin@dasny.org</t>
  </si>
  <si>
    <t>9:00 am New York Time</t>
  </si>
  <si>
    <t>JEFFREY</t>
  </si>
  <si>
    <t>GORDON</t>
  </si>
  <si>
    <t>jgordon@dasny.org</t>
  </si>
  <si>
    <t>9:41 am New York Time</t>
  </si>
  <si>
    <t>August 11, 2021 11:50 am New York Time</t>
  </si>
  <si>
    <t>Kyle</t>
  </si>
  <si>
    <t>kfitzgerald@emcorbetlem.com</t>
  </si>
  <si>
    <t>August 2, 2021 1:20 pm New York Time</t>
  </si>
  <si>
    <t>Sabrina</t>
  </si>
  <si>
    <t>Stanback-Weeks</t>
  </si>
  <si>
    <t>sstanbac@dasny.org</t>
  </si>
  <si>
    <t>10:19 am New York Time</t>
  </si>
  <si>
    <t>August 25, 2021 10:10 am New York Time</t>
  </si>
  <si>
    <t>Sean</t>
  </si>
  <si>
    <t>Bernieri</t>
  </si>
  <si>
    <t>sb3@iancc.com</t>
  </si>
  <si>
    <t>August 16, 2021 10:10 am New York Time</t>
  </si>
  <si>
    <t>Tracy</t>
  </si>
  <si>
    <t>Ray</t>
  </si>
  <si>
    <t>bigrayrenovationsbk@gmail.com</t>
  </si>
  <si>
    <t>August 24, 2021 8:02 pm New York Time</t>
  </si>
  <si>
    <t>Vic</t>
  </si>
  <si>
    <t>Albany</t>
  </si>
  <si>
    <t>fdmestimates@familydanz.com</t>
  </si>
  <si>
    <t>August 20, 2021 9:22 am New York Time</t>
  </si>
  <si>
    <t>Salvatore</t>
  </si>
  <si>
    <t>Schillaci</t>
  </si>
  <si>
    <t>salvatore@tristarplumbing.net</t>
  </si>
  <si>
    <t>August 24, 2021 3:31 pm New York Time</t>
  </si>
  <si>
    <t>Jewin</t>
  </si>
  <si>
    <t>Perineau</t>
  </si>
  <si>
    <t>redboltcleaning@gmail.com</t>
  </si>
  <si>
    <t>August 2, 2021 6:47 pm New York Time</t>
  </si>
  <si>
    <t>Tony</t>
  </si>
  <si>
    <t>Hicks</t>
  </si>
  <si>
    <t>tony@bull-ding.com</t>
  </si>
  <si>
    <t>August 25, 2021 12:28 am New York Time</t>
  </si>
  <si>
    <t>Anthony</t>
  </si>
  <si>
    <t>abae@abaeenterprisesinc.com</t>
  </si>
  <si>
    <t>August 23, 2021 12:51 pm New York Time</t>
  </si>
  <si>
    <t>12:40 pm New York Time</t>
  </si>
  <si>
    <t>Shamsher</t>
  </si>
  <si>
    <t>Ashraf</t>
  </si>
  <si>
    <t>shamsher@shineconstructioncorp.com</t>
  </si>
  <si>
    <t>August 24, 2021 2:27 pm New York Time</t>
  </si>
  <si>
    <t>Fabrienne</t>
  </si>
  <si>
    <t>Joseph</t>
  </si>
  <si>
    <t>empire.experience@yahoo.com</t>
  </si>
  <si>
    <t>August 16, 2021 9:25 pm New York Time</t>
  </si>
  <si>
    <t>sheldon</t>
  </si>
  <si>
    <t>johnson</t>
  </si>
  <si>
    <t>sjohnson@dasny.org</t>
  </si>
  <si>
    <t>9:01 am New York Time</t>
  </si>
  <si>
    <t>PATRICK</t>
  </si>
  <si>
    <t>O'Brien</t>
  </si>
  <si>
    <t>patob@upstatecompany.com</t>
  </si>
  <si>
    <t>August 20, 2021 11:01 am New York Time</t>
  </si>
  <si>
    <t>11:49 am New York Time</t>
  </si>
  <si>
    <t>Ali</t>
  </si>
  <si>
    <t>Tariq</t>
  </si>
  <si>
    <t>atariq@saadconstructioncorp.com</t>
  </si>
  <si>
    <t>11:31 am New York Time</t>
  </si>
  <si>
    <t>August 13, 2021 11:29 am New York Time</t>
  </si>
  <si>
    <t>Talia</t>
  </si>
  <si>
    <t>talia@mwbeconstructors.com</t>
  </si>
  <si>
    <t>August 24, 2021 2:23 pm New York Time</t>
  </si>
  <si>
    <t>Susan</t>
  </si>
  <si>
    <t>Heffernan</t>
  </si>
  <si>
    <t>info@wilkinsmechanical.net</t>
  </si>
  <si>
    <t>August 25, 2021 8:12 am New York Time</t>
  </si>
  <si>
    <t>Is your firm a NYS Certified WBE?|Is your firm currently a DASNY JOC Contractor?|Trade contract you are interested in bidding (use semi-colon to seperate each listing)|Has your firm worked on DASNY projects as a prime or sub-contractor?|Has your firm bid on DASNY JOC contract soliciations?</t>
  </si>
  <si>
    <t>Elisa</t>
  </si>
  <si>
    <t>Lalinde</t>
  </si>
  <si>
    <t>elisa@americaneagleelectric.com</t>
  </si>
  <si>
    <t>12:29 pm New York Time</t>
  </si>
  <si>
    <t>August 4, 2021 12:14 pm New York Time</t>
  </si>
  <si>
    <t>Jason</t>
  </si>
  <si>
    <t>Rodriguez</t>
  </si>
  <si>
    <t>jrodriguez@commodorecc.com</t>
  </si>
  <si>
    <t>9:46 am New York Time</t>
  </si>
  <si>
    <t>August 4, 2021 12:24 pm New York Time</t>
  </si>
  <si>
    <t>John</t>
  </si>
  <si>
    <t>Walsh</t>
  </si>
  <si>
    <t>jwalsh@greenwayusaco.com</t>
  </si>
  <si>
    <t>August 23, 2021 1:22 pm New York Time</t>
  </si>
  <si>
    <t>Chaudhry</t>
  </si>
  <si>
    <t>Wasim</t>
  </si>
  <si>
    <t>avenuecon@gmail.com</t>
  </si>
  <si>
    <t>August 12, 2021 11:31 am New York Time</t>
  </si>
  <si>
    <t>Sofia</t>
  </si>
  <si>
    <t>Antoniadis</t>
  </si>
  <si>
    <t>acecoinc@aol.com</t>
  </si>
  <si>
    <t>August 18, 2021 4:57 pm New York Time</t>
  </si>
  <si>
    <t>11:39 am New York Time</t>
  </si>
  <si>
    <t>Sherrill</t>
  </si>
  <si>
    <t>Braman</t>
  </si>
  <si>
    <t>aleutelectricllc@gmail.com</t>
  </si>
  <si>
    <t>10:49 am New York Time</t>
  </si>
  <si>
    <t>August 25, 2021 10:47 am New York Time</t>
  </si>
  <si>
    <t>11:53 am New York Time</t>
  </si>
  <si>
    <t>Lawson</t>
  </si>
  <si>
    <t>Harris</t>
  </si>
  <si>
    <t>lawson@mamais.com</t>
  </si>
  <si>
    <t>11:26 am New York Time</t>
  </si>
  <si>
    <t>August 9, 2021 9:39 am New York Time</t>
  </si>
  <si>
    <t>Bruce</t>
  </si>
  <si>
    <t>Latham</t>
  </si>
  <si>
    <t>bruceh@mxa-us.com</t>
  </si>
  <si>
    <t>August 23, 2021 11:37 am New York Time</t>
  </si>
  <si>
    <t>Don</t>
  </si>
  <si>
    <t>Leckie</t>
  </si>
  <si>
    <t>donleckie1965@gmail.com</t>
  </si>
  <si>
    <t>August 23, 2021 1:40 pm New York Time</t>
  </si>
  <si>
    <t>Harpreet</t>
  </si>
  <si>
    <t>hscnyc@gmail.com</t>
  </si>
  <si>
    <t>August 4, 2021 10:07 am New York Time</t>
  </si>
  <si>
    <t>Shirley</t>
  </si>
  <si>
    <t>Wu</t>
  </si>
  <si>
    <t>swu@infinitycsc.com</t>
  </si>
  <si>
    <t>August 25, 2021 9:53 am New York Time</t>
  </si>
  <si>
    <t>Quinlan</t>
  </si>
  <si>
    <t>jquinlan@dasny.org</t>
  </si>
  <si>
    <t>August 25, 2021 8:51 am New York Time</t>
  </si>
  <si>
    <t>Peter</t>
  </si>
  <si>
    <t>Volandes</t>
  </si>
  <si>
    <t>peterv@volmar.com</t>
  </si>
  <si>
    <t>August 17, 2021 9:04 am New York Time</t>
  </si>
  <si>
    <t>William</t>
  </si>
  <si>
    <t>Coe</t>
  </si>
  <si>
    <t>wcoe@emcorbetlem.com</t>
  </si>
  <si>
    <t>August 2, 2021 11:51 am New York Time</t>
  </si>
  <si>
    <t>Amanda</t>
  </si>
  <si>
    <t>McGinley</t>
  </si>
  <si>
    <t>amanda@macfhionnelectric.com</t>
  </si>
  <si>
    <t>August 4, 2021 10:32 am New York Time</t>
  </si>
  <si>
    <t>Gillian</t>
  </si>
  <si>
    <t>Giannini</t>
  </si>
  <si>
    <t>gillian@babylonconstructionco.com</t>
  </si>
  <si>
    <t>August 3, 2021 10:30 am New York Time</t>
  </si>
  <si>
    <t>Ledjan</t>
  </si>
  <si>
    <t>Fisniku</t>
  </si>
  <si>
    <t>mk@ds-restoration.com</t>
  </si>
  <si>
    <t>August 6, 2021 1:05 pm New York Time</t>
  </si>
  <si>
    <t>10:12 am New York Time</t>
  </si>
  <si>
    <t>Adam</t>
  </si>
  <si>
    <t>Wasilausky</t>
  </si>
  <si>
    <t>adamw@crescentcontracting.com</t>
  </si>
  <si>
    <t>August 24, 2021 2:32 pm New York Time</t>
  </si>
  <si>
    <t>Pramod</t>
  </si>
  <si>
    <t>Panackal</t>
  </si>
  <si>
    <t>pj@gdsmechanical.com</t>
  </si>
  <si>
    <t>August 2, 2021 4:45 pm New York Time</t>
  </si>
  <si>
    <t>9:38 am New York Time</t>
  </si>
  <si>
    <t>11:36 am New York Time</t>
  </si>
  <si>
    <t>Pauline</t>
  </si>
  <si>
    <t>Charles-Ajim</t>
  </si>
  <si>
    <t>pauline@jprbuilders07.com</t>
  </si>
  <si>
    <t>August 2, 2021 8:30 pm New York Time</t>
  </si>
  <si>
    <t>Carolina</t>
  </si>
  <si>
    <t>carolina@cccrenovation.com</t>
  </si>
  <si>
    <t>August 11, 2021 12:13 pm New York Time</t>
  </si>
  <si>
    <t>9:03 am New York Time</t>
  </si>
  <si>
    <t>JAIME</t>
  </si>
  <si>
    <t>HERNANDEZ</t>
  </si>
  <si>
    <t>hernandez@durablis.com</t>
  </si>
  <si>
    <t>August 9, 2021 10:19 am New York Time</t>
  </si>
  <si>
    <t>Kashif</t>
  </si>
  <si>
    <t>Naseem</t>
  </si>
  <si>
    <t>progressivebuilders22@gmail.com</t>
  </si>
  <si>
    <t>August 25, 2021 10:08 am New York Time</t>
  </si>
  <si>
    <t>Wayne</t>
  </si>
  <si>
    <t>Benjamin</t>
  </si>
  <si>
    <t>wbenjami@dasny.org</t>
  </si>
  <si>
    <t>9:10 am New York Time</t>
  </si>
  <si>
    <t>Gabriella</t>
  </si>
  <si>
    <t>Melnick</t>
  </si>
  <si>
    <t>gabriella.melnick@axisystem.com</t>
  </si>
  <si>
    <t>August 24, 2021 4:36 pm New York Time</t>
  </si>
  <si>
    <t>9:02 am New York Time</t>
  </si>
  <si>
    <t>Ryan</t>
  </si>
  <si>
    <t>Smith</t>
  </si>
  <si>
    <t>ryan.smith@esd.ny.gov</t>
  </si>
  <si>
    <t>August 23, 2021 9:54 am New York Time</t>
  </si>
  <si>
    <t>10:33 am New York Time</t>
  </si>
  <si>
    <t>Gloria</t>
  </si>
  <si>
    <t>gjames5310@aol.com</t>
  </si>
  <si>
    <t>9:18 am New York Time</t>
  </si>
  <si>
    <t>August 25, 2021 9:18 am New York Time</t>
  </si>
  <si>
    <t>Siva Praneeth Reddy</t>
  </si>
  <si>
    <t>Gudibandi</t>
  </si>
  <si>
    <t>info@venusgroupinc.com</t>
  </si>
  <si>
    <t>11:40 am New York Time</t>
  </si>
  <si>
    <t>August 4, 2021 2:40 pm New York Time</t>
  </si>
  <si>
    <t>Yuriy</t>
  </si>
  <si>
    <t>Agranov</t>
  </si>
  <si>
    <t>yagranov@wdfinc.net</t>
  </si>
  <si>
    <t>Salome</t>
  </si>
  <si>
    <t>Woodside</t>
  </si>
  <si>
    <t>s.rodriguez@qclny.com</t>
  </si>
  <si>
    <t>August 3, 2021 10:54 am New York Time</t>
  </si>
  <si>
    <t>Renee</t>
  </si>
  <si>
    <t>decatur</t>
  </si>
  <si>
    <t>rwinters@dasny.org</t>
  </si>
  <si>
    <t>9:49 am New York Time</t>
  </si>
  <si>
    <t>August 25, 2021 9:49 am New York Time</t>
  </si>
  <si>
    <t>Daniel</t>
  </si>
  <si>
    <t>Daley</t>
  </si>
  <si>
    <t>daniel.daley@ogs.ny.gov</t>
  </si>
  <si>
    <t>10:41 am New York Time</t>
  </si>
  <si>
    <t>Aisha</t>
  </si>
  <si>
    <t>Thorne</t>
  </si>
  <si>
    <t>aishathorne@thornelectricinc.net</t>
  </si>
  <si>
    <t>Is your firm a NYS Certified WBE?|Is your firm a Certified MBE?|Is your firm currently a DASNY JOC Contractor?|Trade contract you are interested in bidding (use semi-colon to seperate each listing)|Has your firm worked on DASNY projects as a prime or sub-contractor?</t>
  </si>
  <si>
    <t>tina</t>
  </si>
  <si>
    <t>staten island</t>
  </si>
  <si>
    <t>tamarini@icpcorp.com</t>
  </si>
  <si>
    <t>9:17 am New York Time</t>
  </si>
  <si>
    <t>August 5, 2021 3:20 pm New York Time</t>
  </si>
  <si>
    <t>11:51 am New York Time</t>
  </si>
  <si>
    <t>Philip</t>
  </si>
  <si>
    <t>Wylie</t>
  </si>
  <si>
    <t>phil@hmimechanical.com</t>
  </si>
  <si>
    <t>August 23, 2021 2:37 pm New York Time</t>
  </si>
  <si>
    <t>10:47 am New York Time</t>
  </si>
  <si>
    <t>Rene</t>
  </si>
  <si>
    <t>Pedroso</t>
  </si>
  <si>
    <t>r.pedroso@gordian.com</t>
  </si>
  <si>
    <t>9:15 am New York Time</t>
  </si>
  <si>
    <t>August 25, 2021 9:15 am New York Time</t>
  </si>
  <si>
    <t>NIELSEN</t>
  </si>
  <si>
    <t>bnielsen@rph.nyc</t>
  </si>
  <si>
    <t>August 24, 2021 7:31 pm New York Time</t>
  </si>
  <si>
    <t>Small</t>
  </si>
  <si>
    <t>rsixmen@aol.com</t>
  </si>
  <si>
    <t>August 5, 2021 1:24 pm New York Time</t>
  </si>
  <si>
    <t>McSween</t>
  </si>
  <si>
    <t>alexis@blcdnyc.com</t>
  </si>
  <si>
    <t>August 25, 2021 10:07 am New York Time</t>
  </si>
  <si>
    <t>theresa</t>
  </si>
  <si>
    <t>bronx</t>
  </si>
  <si>
    <t>youngleadersenrichmentprogram@gmail.com</t>
  </si>
  <si>
    <t>August 13, 2021 10:05 am New York Time</t>
  </si>
  <si>
    <t>dina</t>
  </si>
  <si>
    <t>cardoso</t>
  </si>
  <si>
    <t>dcardoso@wdfinc.net</t>
  </si>
  <si>
    <t>August 4, 2021 6:02 pm New York Time</t>
  </si>
  <si>
    <t>Safiy</t>
  </si>
  <si>
    <t>Rahman</t>
  </si>
  <si>
    <t>sarahman@romcm.com</t>
  </si>
  <si>
    <t>August 11, 2021 3:45 pm New York Time</t>
  </si>
  <si>
    <t>Lawrence</t>
  </si>
  <si>
    <t>thornelectricinc@att.net</t>
  </si>
  <si>
    <t>August 11, 2021 3:13 pm New York Time</t>
  </si>
  <si>
    <t>Is your firm a NYS Certified WBE?|Is your firm a Certified MBE?|Trade contract you are interested in bidding (use semi-colon to seperate each listing)|Has your firm worked on DASNY projects as a prime or sub-contractor?|Has your firm bid on DASNY JOC contract soliciations?</t>
  </si>
  <si>
    <t>9:16 am New York Time</t>
  </si>
  <si>
    <t>George</t>
  </si>
  <si>
    <t>Graham</t>
  </si>
  <si>
    <t>g.graham@gordian.com</t>
  </si>
  <si>
    <t>August 5, 2021 7:52 am New York Time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</si>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</sst>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17"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7"/>
  <sheetViews>
    <sheetView tabSelected="1" workbookViewId="0"/>
  </sheetViews>
  <sheetFormatPr defaultRowHeight="14.5" x14ac:dyDescent="0.35"/>
  <sheetData>
    <row r="1" spans="1:36" x14ac:dyDescent="0.35">
      <c r="A1" t="s">
        <v>0</v>
      </c>
    </row>
    <row r="2" spans="1:36" x14ac:dyDescent="0.35">
      <c r="A2" t="s">
        <v>1</v>
      </c>
      <c r="B2" t="s">
        <v>2</v>
      </c>
      <c r="C2" t="s">
        <v>3</v>
      </c>
      <c r="D2" t="s">
        <v>4</v>
      </c>
      <c r="E2" t="s">
        <v>5</v>
      </c>
      <c r="F2" t="s">
        <v>6</v>
      </c>
      <c r="G2" t="s">
        <v>7</v>
      </c>
      <c r="H2" t="s">
        <v>8</v>
      </c>
      <c r="I2" t="s">
        <v>9</v>
      </c>
      <c r="J2" t="s">
        <v>10</v>
      </c>
      <c r="K2" t="s">
        <v>11</v>
      </c>
      <c r="L2" t="s">
        <v>12</v>
      </c>
      <c r="M2" t="s">
        <v>13</v>
      </c>
      <c r="N2" t="s">
        <v>14</v>
      </c>
      <c r="O2" t="s">
        <v>15</v>
      </c>
      <c r="P2" t="s">
        <v>16</v>
      </c>
      <c r="Q2" t="s">
        <v>17</v>
      </c>
      <c r="R2" t="s">
        <v>18</v>
      </c>
      <c r="S2" t="s">
        <v>19</v>
      </c>
      <c r="T2" t="s">
        <v>20</v>
      </c>
      <c r="U2" t="s">
        <v>21</v>
      </c>
      <c r="V2" t="s">
        <v>22</v>
      </c>
      <c r="W2" t="s">
        <v>23</v>
      </c>
      <c r="X2" t="s">
        <v>24</v>
      </c>
      <c r="Y2" t="s">
        <v>25</v>
      </c>
      <c r="Z2" t="s">
        <v>26</v>
      </c>
      <c r="AA2" t="s">
        <v>27</v>
      </c>
      <c r="AB2" t="s">
        <v>28</v>
      </c>
      <c r="AC2" t="s">
        <v>29</v>
      </c>
      <c r="AD2" t="s">
        <v>30</v>
      </c>
      <c r="AE2" t="s">
        <v>31</v>
      </c>
      <c r="AF2" t="s">
        <v>32</v>
      </c>
      <c r="AG2" t="s">
        <v>33</v>
      </c>
      <c r="AH2" t="s">
        <v>34</v>
      </c>
      <c r="AI2" t="s">
        <v>35</v>
      </c>
      <c r="AJ2" t="s">
        <v>36</v>
      </c>
    </row>
    <row r="3" spans="1:36" x14ac:dyDescent="0.35">
      <c r="A3">
        <v>1</v>
      </c>
      <c r="B3" t="str">
        <f t="shared" ref="B3:B34" si="0">"203620166296150098"</f>
        <v>203620166296150098</v>
      </c>
      <c r="C3">
        <v>1720138377</v>
      </c>
      <c r="D3" t="s">
        <v>37</v>
      </c>
      <c r="E3" t="s">
        <v>38</v>
      </c>
      <c r="F3" t="s">
        <v>39</v>
      </c>
      <c r="G3" t="s">
        <v>40</v>
      </c>
      <c r="H3" t="s">
        <v>41</v>
      </c>
      <c r="I3" t="s">
        <v>42</v>
      </c>
      <c r="J3" t="s">
        <v>43</v>
      </c>
      <c r="K3" t="s">
        <v>44</v>
      </c>
      <c r="L3" t="s">
        <v>45</v>
      </c>
      <c r="M3" t="s">
        <v>46</v>
      </c>
      <c r="N3" t="s">
        <v>47</v>
      </c>
      <c r="O3" t="s">
        <v>48</v>
      </c>
      <c r="P3" t="s">
        <v>48</v>
      </c>
      <c r="Q3" t="s">
        <v>49</v>
      </c>
      <c r="R3" t="s">
        <v>37</v>
      </c>
      <c r="S3" t="s">
        <v>50</v>
      </c>
      <c r="T3">
        <v>795248</v>
      </c>
      <c r="U3">
        <v>0</v>
      </c>
      <c r="V3" t="s">
        <v>48</v>
      </c>
      <c r="W3" t="str">
        <f>"Estimator"</f>
        <v>Estimator</v>
      </c>
      <c r="X3" s="1">
        <v>36161</v>
      </c>
      <c r="Y3" t="str">
        <f>"Geomatrix Services Inc"</f>
        <v>Geomatrix Services Inc</v>
      </c>
      <c r="Z3" t="str">
        <f>"1-7325689000"</f>
        <v>1-7325689000</v>
      </c>
      <c r="AA3" t="str">
        <f>"210 East High Street"</f>
        <v>210 East High Street</v>
      </c>
      <c r="AB3" t="str">
        <f>"210 East High Street"</f>
        <v>210 East High Street</v>
      </c>
      <c r="AC3" t="str">
        <f>"Bound Brook"</f>
        <v>Bound Brook</v>
      </c>
      <c r="AD3" t="str">
        <f>"New Jersey"</f>
        <v>New Jersey</v>
      </c>
      <c r="AE3" t="str">
        <f>"08805"</f>
        <v>08805</v>
      </c>
      <c r="AF3" t="s">
        <v>51</v>
      </c>
      <c r="AG3" t="str">
        <f>"$20 MILLION"</f>
        <v>$20 MILLION</v>
      </c>
      <c r="AH3" t="str">
        <f>"HVAC &amp; GC"</f>
        <v>HVAC &amp; GC</v>
      </c>
      <c r="AI3" t="s">
        <v>52</v>
      </c>
      <c r="AJ3" t="str">
        <f>"$ 40 MILLION"</f>
        <v>$ 40 MILLION</v>
      </c>
    </row>
    <row r="4" spans="1:36" x14ac:dyDescent="0.35">
      <c r="A4">
        <v>2</v>
      </c>
      <c r="B4" t="str">
        <f t="shared" si="0"/>
        <v>203620166296150098</v>
      </c>
      <c r="C4">
        <v>1720138377</v>
      </c>
      <c r="D4" t="s">
        <v>37</v>
      </c>
      <c r="E4" t="s">
        <v>38</v>
      </c>
      <c r="F4" t="s">
        <v>39</v>
      </c>
      <c r="G4" t="s">
        <v>40</v>
      </c>
      <c r="H4" t="s">
        <v>41</v>
      </c>
      <c r="I4" t="s">
        <v>42</v>
      </c>
      <c r="J4" t="s">
        <v>43</v>
      </c>
      <c r="K4" t="s">
        <v>53</v>
      </c>
      <c r="L4" t="s">
        <v>54</v>
      </c>
      <c r="M4" t="s">
        <v>55</v>
      </c>
      <c r="N4" t="s">
        <v>47</v>
      </c>
      <c r="O4" t="s">
        <v>48</v>
      </c>
      <c r="P4" t="s">
        <v>48</v>
      </c>
      <c r="Q4" t="s">
        <v>56</v>
      </c>
      <c r="R4" t="s">
        <v>37</v>
      </c>
      <c r="S4" t="s">
        <v>57</v>
      </c>
      <c r="T4">
        <v>286961</v>
      </c>
      <c r="U4">
        <v>0</v>
      </c>
      <c r="V4" t="s">
        <v>48</v>
      </c>
      <c r="W4" t="str">
        <f>"president"</f>
        <v>president</v>
      </c>
      <c r="X4" s="1">
        <v>36161</v>
      </c>
      <c r="Y4" t="str">
        <f>"All Aces Corp."</f>
        <v>All Aces Corp.</v>
      </c>
      <c r="Z4" t="str">
        <f>"1-6315695955"</f>
        <v>1-6315695955</v>
      </c>
      <c r="AA4" t="str">
        <f>"1155 Montauk Highway"</f>
        <v>1155 Montauk Highway</v>
      </c>
      <c r="AB4" t="str">
        <f>"1155 Montauk HWY"</f>
        <v>1155 Montauk HWY</v>
      </c>
      <c r="AC4" t="str">
        <f>"EAST PATCHOGUE"</f>
        <v>EAST PATCHOGUE</v>
      </c>
      <c r="AD4" t="str">
        <f>"NY"</f>
        <v>NY</v>
      </c>
      <c r="AE4" t="str">
        <f>"11772"</f>
        <v>11772</v>
      </c>
      <c r="AF4" t="s">
        <v>51</v>
      </c>
      <c r="AG4" t="str">
        <f>""</f>
        <v/>
      </c>
      <c r="AH4" t="str">
        <f>"construction"</f>
        <v>construction</v>
      </c>
      <c r="AI4" t="str">
        <f>"Is your firm a Certified MBE?|Is your firm a NYS Certified SVDOB?|Has your firm worked on DASNY projects as a prime or sub-contractor?"</f>
        <v>Is your firm a Certified MBE?|Is your firm a NYS Certified SVDOB?|Has your firm worked on DASNY projects as a prime or sub-contractor?</v>
      </c>
      <c r="AJ4" t="str">
        <f>""</f>
        <v/>
      </c>
    </row>
    <row r="5" spans="1:36" x14ac:dyDescent="0.35">
      <c r="A5">
        <v>3</v>
      </c>
      <c r="B5" t="str">
        <f t="shared" si="0"/>
        <v>203620166296150098</v>
      </c>
      <c r="C5">
        <v>1720138377</v>
      </c>
      <c r="D5" t="s">
        <v>37</v>
      </c>
      <c r="E5" t="s">
        <v>38</v>
      </c>
      <c r="F5" t="s">
        <v>39</v>
      </c>
      <c r="G5" t="s">
        <v>40</v>
      </c>
      <c r="H5" t="s">
        <v>41</v>
      </c>
      <c r="I5" t="s">
        <v>42</v>
      </c>
      <c r="J5" t="s">
        <v>43</v>
      </c>
      <c r="K5" t="s">
        <v>58</v>
      </c>
      <c r="L5" t="s">
        <v>59</v>
      </c>
      <c r="M5" t="s">
        <v>60</v>
      </c>
      <c r="N5" t="s">
        <v>47</v>
      </c>
      <c r="O5" t="s">
        <v>48</v>
      </c>
      <c r="P5" t="s">
        <v>48</v>
      </c>
      <c r="Q5" t="s">
        <v>61</v>
      </c>
      <c r="R5" t="s">
        <v>37</v>
      </c>
      <c r="S5" t="s">
        <v>62</v>
      </c>
      <c r="T5">
        <v>567410</v>
      </c>
      <c r="U5">
        <v>0</v>
      </c>
      <c r="V5" t="s">
        <v>48</v>
      </c>
      <c r="W5" t="str">
        <f>"Marketing Director"</f>
        <v>Marketing Director</v>
      </c>
      <c r="X5" s="1">
        <v>36161</v>
      </c>
      <c r="Y5" t="str">
        <f>"A1 Works-in-Progress Associates, LLC"</f>
        <v>A1 Works-in-Progress Associates, LLC</v>
      </c>
      <c r="Z5" t="str">
        <f>"1-212-871-0933"</f>
        <v>1-212-871-0933</v>
      </c>
      <c r="AA5" t="str">
        <f>"33 Rector Street"</f>
        <v>33 Rector Street</v>
      </c>
      <c r="AB5" t="str">
        <f>"14th Floor"</f>
        <v>14th Floor</v>
      </c>
      <c r="AC5" t="str">
        <f>"New York"</f>
        <v>New York</v>
      </c>
      <c r="AD5" t="str">
        <f>"NY"</f>
        <v>NY</v>
      </c>
      <c r="AE5" t="str">
        <f>"10006"</f>
        <v>10006</v>
      </c>
      <c r="AF5" t="s">
        <v>51</v>
      </c>
      <c r="AG5" t="str">
        <f>""</f>
        <v/>
      </c>
      <c r="AH5" t="str">
        <f>"Construction management services"</f>
        <v>Construction management services</v>
      </c>
      <c r="AI5" t="str">
        <f>"Is your firm a NYS Certified WBE?|Has your firm worked on DASNY projects as a prime or sub-contractor?"</f>
        <v>Is your firm a NYS Certified WBE?|Has your firm worked on DASNY projects as a prime or sub-contractor?</v>
      </c>
      <c r="AJ5" t="str">
        <f>""</f>
        <v/>
      </c>
    </row>
    <row r="6" spans="1:36" x14ac:dyDescent="0.35">
      <c r="A6">
        <v>4</v>
      </c>
      <c r="B6" t="str">
        <f t="shared" si="0"/>
        <v>203620166296150098</v>
      </c>
      <c r="C6">
        <v>1720138377</v>
      </c>
      <c r="D6" t="s">
        <v>37</v>
      </c>
      <c r="E6" t="s">
        <v>38</v>
      </c>
      <c r="F6" t="s">
        <v>39</v>
      </c>
      <c r="G6" t="s">
        <v>40</v>
      </c>
      <c r="H6" t="s">
        <v>41</v>
      </c>
      <c r="I6" t="s">
        <v>42</v>
      </c>
      <c r="J6" t="s">
        <v>43</v>
      </c>
      <c r="K6" t="s">
        <v>63</v>
      </c>
      <c r="L6" t="s">
        <v>64</v>
      </c>
      <c r="M6" t="s">
        <v>65</v>
      </c>
      <c r="N6" t="s">
        <v>47</v>
      </c>
      <c r="O6" t="s">
        <v>48</v>
      </c>
      <c r="P6" t="s">
        <v>48</v>
      </c>
      <c r="Q6" t="s">
        <v>66</v>
      </c>
      <c r="R6" t="s">
        <v>37</v>
      </c>
      <c r="S6" t="s">
        <v>67</v>
      </c>
      <c r="T6">
        <v>730444</v>
      </c>
      <c r="U6">
        <v>0</v>
      </c>
      <c r="V6" t="s">
        <v>47</v>
      </c>
      <c r="W6" t="str">
        <f>"SPM"</f>
        <v>SPM</v>
      </c>
      <c r="X6" s="1">
        <v>36161</v>
      </c>
      <c r="Y6" t="str">
        <f>"Cube Construction Services LLC"</f>
        <v>Cube Construction Services LLC</v>
      </c>
      <c r="Z6" t="str">
        <f>"1-7325294404"</f>
        <v>1-7325294404</v>
      </c>
      <c r="AA6" t="str">
        <f>"17 PEPPERMINT HILL RD"</f>
        <v>17 PEPPERMINT HILL RD</v>
      </c>
      <c r="AB6" t="str">
        <f>"17 PEPPERMINT HILL RD"</f>
        <v>17 PEPPERMINT HILL RD</v>
      </c>
      <c r="AC6" t="str">
        <f>"North Brunswick"</f>
        <v>North Brunswick</v>
      </c>
      <c r="AD6" t="str">
        <f>"New Jersey"</f>
        <v>New Jersey</v>
      </c>
      <c r="AE6" t="str">
        <f>"08902"</f>
        <v>08902</v>
      </c>
      <c r="AF6" t="s">
        <v>51</v>
      </c>
      <c r="AG6" t="str">
        <f>"$12M"</f>
        <v>$12M</v>
      </c>
      <c r="AH6" t="str">
        <f>"GC"</f>
        <v>GC</v>
      </c>
      <c r="AI6" t="str">
        <f>"Is your firm a Certified MBE?|Is your firm currently a DASNY JOC Contractor?|Has your firm worked on DASNY projects as a prime or sub-contractor?"</f>
        <v>Is your firm a Certified MBE?|Is your firm currently a DASNY JOC Contractor?|Has your firm worked on DASNY projects as a prime or sub-contractor?</v>
      </c>
      <c r="AJ6" t="str">
        <f>"$24M"</f>
        <v>$24M</v>
      </c>
    </row>
    <row r="7" spans="1:36" x14ac:dyDescent="0.35">
      <c r="A7">
        <v>5</v>
      </c>
      <c r="B7" t="str">
        <f t="shared" si="0"/>
        <v>203620166296150098</v>
      </c>
      <c r="C7">
        <v>1720138377</v>
      </c>
      <c r="D7" t="s">
        <v>37</v>
      </c>
      <c r="E7" t="s">
        <v>38</v>
      </c>
      <c r="F7" t="s">
        <v>39</v>
      </c>
      <c r="G7" t="s">
        <v>40</v>
      </c>
      <c r="H7" t="s">
        <v>41</v>
      </c>
      <c r="I7" t="s">
        <v>42</v>
      </c>
      <c r="J7" t="s">
        <v>43</v>
      </c>
      <c r="K7" t="s">
        <v>68</v>
      </c>
      <c r="L7" t="s">
        <v>69</v>
      </c>
      <c r="M7" t="s">
        <v>70</v>
      </c>
      <c r="N7" t="s">
        <v>47</v>
      </c>
      <c r="O7" t="s">
        <v>48</v>
      </c>
      <c r="P7" t="s">
        <v>48</v>
      </c>
      <c r="Q7" t="s">
        <v>49</v>
      </c>
      <c r="R7" t="s">
        <v>37</v>
      </c>
      <c r="S7" t="s">
        <v>71</v>
      </c>
      <c r="T7">
        <v>612307</v>
      </c>
      <c r="U7">
        <v>0</v>
      </c>
      <c r="V7" t="s">
        <v>48</v>
      </c>
      <c r="W7" t="str">
        <f>"Project Engineer"</f>
        <v>Project Engineer</v>
      </c>
      <c r="X7" s="1">
        <v>36161</v>
      </c>
      <c r="Y7" t="str">
        <f>"Kanta Electric"</f>
        <v>Kanta Electric</v>
      </c>
      <c r="Z7" t="str">
        <f>"1-7183979527"</f>
        <v>1-7183979527</v>
      </c>
      <c r="AA7" t="str">
        <f>"34-21"</f>
        <v>34-21</v>
      </c>
      <c r="AB7" t="str">
        <f>"56th Street"</f>
        <v>56th Street</v>
      </c>
      <c r="AC7" t="str">
        <f>"Woodside"</f>
        <v>Woodside</v>
      </c>
      <c r="AD7" t="str">
        <f>"NY"</f>
        <v>NY</v>
      </c>
      <c r="AE7" t="str">
        <f>"11377"</f>
        <v>11377</v>
      </c>
      <c r="AF7" t="s">
        <v>51</v>
      </c>
      <c r="AG7" t="str">
        <f>"$ 35 Million"</f>
        <v>$ 35 Million</v>
      </c>
      <c r="AH7" t="str">
        <f>"Electrical"</f>
        <v>Electrical</v>
      </c>
      <c r="AI7" t="str">
        <f>"Is your firm a Certified MBE?|Trade contract you are interested in bidding (use semi-colon to seperate each listing)|Has your firm worked on DASNY projects as a prime or sub-contractor?"</f>
        <v>Is your firm a Certified MBE?|Trade contract you are interested in bidding (use semi-colon to seperate each listing)|Has your firm worked on DASNY projects as a prime or sub-contractor?</v>
      </c>
      <c r="AJ7" t="str">
        <f>"$ 70 Million"</f>
        <v>$ 70 Million</v>
      </c>
    </row>
    <row r="8" spans="1:36" x14ac:dyDescent="0.35">
      <c r="A8">
        <v>6</v>
      </c>
      <c r="B8" t="str">
        <f t="shared" si="0"/>
        <v>203620166296150098</v>
      </c>
      <c r="C8">
        <v>1720138377</v>
      </c>
      <c r="D8" t="s">
        <v>37</v>
      </c>
      <c r="E8" t="s">
        <v>38</v>
      </c>
      <c r="F8" t="s">
        <v>39</v>
      </c>
      <c r="G8" t="s">
        <v>40</v>
      </c>
      <c r="H8" t="s">
        <v>41</v>
      </c>
      <c r="I8" t="s">
        <v>42</v>
      </c>
      <c r="J8" t="s">
        <v>43</v>
      </c>
      <c r="K8" t="s">
        <v>72</v>
      </c>
      <c r="L8" t="s">
        <v>73</v>
      </c>
      <c r="M8" t="s">
        <v>74</v>
      </c>
      <c r="N8" t="s">
        <v>47</v>
      </c>
      <c r="O8" t="s">
        <v>48</v>
      </c>
      <c r="P8" t="s">
        <v>48</v>
      </c>
      <c r="Q8" t="s">
        <v>40</v>
      </c>
      <c r="R8" t="s">
        <v>37</v>
      </c>
      <c r="S8" t="s">
        <v>75</v>
      </c>
      <c r="T8">
        <v>942890</v>
      </c>
      <c r="U8">
        <v>0</v>
      </c>
      <c r="V8" t="s">
        <v>48</v>
      </c>
      <c r="W8" t="str">
        <f>"President"</f>
        <v>President</v>
      </c>
      <c r="X8" s="1">
        <v>36161</v>
      </c>
      <c r="Y8" t="str">
        <f>"DIA General Construction, Inc."</f>
        <v>DIA General Construction, Inc.</v>
      </c>
      <c r="Z8" t="str">
        <f>"1-732-921-4691"</f>
        <v>1-732-921-4691</v>
      </c>
      <c r="AA8" t="str">
        <f>"1360 Clifton Avenue"</f>
        <v>1360 Clifton Avenue</v>
      </c>
      <c r="AB8" t="str">
        <f>"PMB Suite 218"</f>
        <v>PMB Suite 218</v>
      </c>
      <c r="AC8" t="str">
        <f>"Clifton"</f>
        <v>Clifton</v>
      </c>
      <c r="AD8" t="str">
        <f>"NJ"</f>
        <v>NJ</v>
      </c>
      <c r="AE8" t="str">
        <f>"07012"</f>
        <v>07012</v>
      </c>
      <c r="AF8" t="s">
        <v>51</v>
      </c>
      <c r="AG8" t="str">
        <f>"10,000,000"</f>
        <v>10,000,000</v>
      </c>
      <c r="AH8" t="str">
        <f>"General Construction"</f>
        <v>General Construction</v>
      </c>
      <c r="AI8" t="str">
        <f>"Has your firm worked on DASNY projects as a prime or sub-contractor?|Has your firm bid on DASNY JOC contract soliciations?"</f>
        <v>Has your firm worked on DASNY projects as a prime or sub-contractor?|Has your firm bid on DASNY JOC contract soliciations?</v>
      </c>
      <c r="AJ8" t="str">
        <f>"30,000,000"</f>
        <v>30,000,000</v>
      </c>
    </row>
    <row r="9" spans="1:36" x14ac:dyDescent="0.35">
      <c r="A9">
        <v>7</v>
      </c>
      <c r="B9" t="str">
        <f t="shared" si="0"/>
        <v>203620166296150098</v>
      </c>
      <c r="C9">
        <v>1720138377</v>
      </c>
      <c r="D9" t="s">
        <v>37</v>
      </c>
      <c r="E9" t="s">
        <v>38</v>
      </c>
      <c r="F9" t="s">
        <v>39</v>
      </c>
      <c r="G9" t="s">
        <v>40</v>
      </c>
      <c r="H9" t="s">
        <v>41</v>
      </c>
      <c r="I9" t="s">
        <v>42</v>
      </c>
      <c r="J9" t="s">
        <v>43</v>
      </c>
      <c r="K9" t="s">
        <v>76</v>
      </c>
      <c r="L9" t="s">
        <v>77</v>
      </c>
      <c r="M9" t="s">
        <v>78</v>
      </c>
      <c r="N9" t="s">
        <v>47</v>
      </c>
      <c r="O9" t="s">
        <v>48</v>
      </c>
      <c r="P9" t="s">
        <v>48</v>
      </c>
      <c r="Q9" t="s">
        <v>79</v>
      </c>
      <c r="R9" t="s">
        <v>37</v>
      </c>
      <c r="S9" t="s">
        <v>80</v>
      </c>
      <c r="T9">
        <v>126824</v>
      </c>
      <c r="U9">
        <v>0</v>
      </c>
      <c r="V9" t="s">
        <v>48</v>
      </c>
      <c r="W9" t="str">
        <f>"Project Manager"</f>
        <v>Project Manager</v>
      </c>
      <c r="X9" s="1">
        <v>36161</v>
      </c>
      <c r="Y9" t="str">
        <f>"Minhas General Contractor Company, LLC"</f>
        <v>Minhas General Contractor Company, LLC</v>
      </c>
      <c r="Z9" t="str">
        <f>"1-7188715799"</f>
        <v>1-7188715799</v>
      </c>
      <c r="AA9" t="str">
        <f>"1037 39th Street"</f>
        <v>1037 39th Street</v>
      </c>
      <c r="AB9" t="str">
        <f>"1fl"</f>
        <v>1fl</v>
      </c>
      <c r="AC9" t="str">
        <f>"Brooklyn"</f>
        <v>Brooklyn</v>
      </c>
      <c r="AD9" t="str">
        <f>"New York"</f>
        <v>New York</v>
      </c>
      <c r="AE9" t="str">
        <f>"11219"</f>
        <v>11219</v>
      </c>
      <c r="AF9" t="s">
        <v>51</v>
      </c>
      <c r="AG9" t="str">
        <f>""</f>
        <v/>
      </c>
      <c r="AH9" t="str">
        <f>"Masonry"</f>
        <v>Masonry</v>
      </c>
      <c r="AI9" t="str">
        <f>"Is your firm a Certified MBE?"</f>
        <v>Is your firm a Certified MBE?</v>
      </c>
      <c r="AJ9" t="str">
        <f>""</f>
        <v/>
      </c>
    </row>
    <row r="10" spans="1:36" x14ac:dyDescent="0.35">
      <c r="A10">
        <v>8</v>
      </c>
      <c r="B10" t="str">
        <f t="shared" si="0"/>
        <v>203620166296150098</v>
      </c>
      <c r="C10">
        <v>1720138377</v>
      </c>
      <c r="D10" t="s">
        <v>37</v>
      </c>
      <c r="E10" t="s">
        <v>38</v>
      </c>
      <c r="F10" t="s">
        <v>39</v>
      </c>
      <c r="G10" t="s">
        <v>40</v>
      </c>
      <c r="H10" t="s">
        <v>41</v>
      </c>
      <c r="I10" t="s">
        <v>42</v>
      </c>
      <c r="J10" t="s">
        <v>43</v>
      </c>
      <c r="K10" t="s">
        <v>81</v>
      </c>
      <c r="L10" t="s">
        <v>82</v>
      </c>
      <c r="M10" t="s">
        <v>83</v>
      </c>
      <c r="N10" t="s">
        <v>47</v>
      </c>
      <c r="O10" t="s">
        <v>48</v>
      </c>
      <c r="P10" t="s">
        <v>48</v>
      </c>
      <c r="Q10" t="s">
        <v>84</v>
      </c>
      <c r="R10" t="s">
        <v>37</v>
      </c>
      <c r="S10" t="s">
        <v>85</v>
      </c>
      <c r="T10">
        <v>726194</v>
      </c>
      <c r="U10">
        <v>0</v>
      </c>
      <c r="V10" t="s">
        <v>48</v>
      </c>
      <c r="W10" t="str">
        <f>"Business development"</f>
        <v>Business development</v>
      </c>
      <c r="X10" s="1">
        <v>36161</v>
      </c>
      <c r="Y10" t="str">
        <f>"LHP Architects, PLLC"</f>
        <v>LHP Architects, PLLC</v>
      </c>
      <c r="Z10" t="str">
        <f>"1-2123342600"</f>
        <v>1-2123342600</v>
      </c>
      <c r="AA10" t="str">
        <f>"12 West 37th Street"</f>
        <v>12 West 37th Street</v>
      </c>
      <c r="AB10" t="str">
        <f>"FL 8"</f>
        <v>FL 8</v>
      </c>
      <c r="AC10" t="str">
        <f>"New York"</f>
        <v>New York</v>
      </c>
      <c r="AD10" t="str">
        <f t="shared" ref="AD10:AD15" si="1">"NY"</f>
        <v>NY</v>
      </c>
      <c r="AE10" t="str">
        <f>"10018"</f>
        <v>10018</v>
      </c>
      <c r="AF10" t="s">
        <v>51</v>
      </c>
      <c r="AG10" t="str">
        <f>"N/A"</f>
        <v>N/A</v>
      </c>
      <c r="AH10" t="str">
        <f>"Architectural Design"</f>
        <v>Architectural Design</v>
      </c>
      <c r="AI10" t="str">
        <f>"Is your firm a Certified MBE?"</f>
        <v>Is your firm a Certified MBE?</v>
      </c>
      <c r="AJ10" t="str">
        <f>"N/A"</f>
        <v>N/A</v>
      </c>
    </row>
    <row r="11" spans="1:36" x14ac:dyDescent="0.35">
      <c r="A11">
        <v>9</v>
      </c>
      <c r="B11" t="str">
        <f t="shared" si="0"/>
        <v>203620166296150098</v>
      </c>
      <c r="C11">
        <v>1720138377</v>
      </c>
      <c r="D11" t="s">
        <v>37</v>
      </c>
      <c r="E11" t="s">
        <v>38</v>
      </c>
      <c r="F11" t="s">
        <v>39</v>
      </c>
      <c r="G11" t="s">
        <v>40</v>
      </c>
      <c r="H11" t="s">
        <v>41</v>
      </c>
      <c r="I11" t="s">
        <v>42</v>
      </c>
      <c r="J11" t="s">
        <v>43</v>
      </c>
      <c r="K11" t="s">
        <v>86</v>
      </c>
      <c r="L11" t="s">
        <v>87</v>
      </c>
      <c r="M11" t="s">
        <v>88</v>
      </c>
      <c r="N11" t="s">
        <v>47</v>
      </c>
      <c r="O11" t="s">
        <v>48</v>
      </c>
      <c r="P11" t="s">
        <v>48</v>
      </c>
      <c r="Q11" t="s">
        <v>84</v>
      </c>
      <c r="R11" t="s">
        <v>37</v>
      </c>
      <c r="S11" t="s">
        <v>89</v>
      </c>
      <c r="T11">
        <v>178938</v>
      </c>
      <c r="U11">
        <v>0</v>
      </c>
      <c r="V11" t="s">
        <v>47</v>
      </c>
      <c r="W11" t="str">
        <f>"VP"</f>
        <v>VP</v>
      </c>
      <c r="X11" s="1">
        <v>36161</v>
      </c>
      <c r="Y11" t="str">
        <f>"Delphi Plumbing &amp; Heating, Inc."</f>
        <v>Delphi Plumbing &amp; Heating, Inc.</v>
      </c>
      <c r="Z11" t="str">
        <f>"1-7183697248"</f>
        <v>1-7183697248</v>
      </c>
      <c r="AA11" t="str">
        <f>"242, 43rd St"</f>
        <v>242, 43rd St</v>
      </c>
      <c r="AB11" t="str">
        <f>"43rd St"</f>
        <v>43rd St</v>
      </c>
      <c r="AC11" t="str">
        <f>"Brooklyn"</f>
        <v>Brooklyn</v>
      </c>
      <c r="AD11" t="str">
        <f t="shared" si="1"/>
        <v>NY</v>
      </c>
      <c r="AE11" t="str">
        <f>"11232"</f>
        <v>11232</v>
      </c>
      <c r="AF11" t="s">
        <v>51</v>
      </c>
      <c r="AG11" t="str">
        <f>""</f>
        <v/>
      </c>
      <c r="AH11" t="str">
        <f>"Plumbing, Mechanical, HVAC, GC"</f>
        <v>Plumbing, Mechanical, HVAC, GC</v>
      </c>
      <c r="AI11" t="str">
        <f>"Is your firm currently a DASNY JOC Contractor?|Has your firm worked on DASNY projects as a prime or sub-contractor?|Has your firm bid on DASNY JOC contract soliciations?"</f>
        <v>Is your firm currently a DASNY JOC Contractor?|Has your firm worked on DASNY projects as a prime or sub-contractor?|Has your firm bid on DASNY JOC contract soliciations?</v>
      </c>
      <c r="AJ11" t="str">
        <f>""</f>
        <v/>
      </c>
    </row>
    <row r="12" spans="1:36" x14ac:dyDescent="0.35">
      <c r="A12">
        <v>10</v>
      </c>
      <c r="B12" t="str">
        <f t="shared" si="0"/>
        <v>203620166296150098</v>
      </c>
      <c r="C12">
        <v>1720138377</v>
      </c>
      <c r="D12" t="s">
        <v>37</v>
      </c>
      <c r="E12" t="s">
        <v>38</v>
      </c>
      <c r="F12" t="s">
        <v>39</v>
      </c>
      <c r="G12" t="s">
        <v>40</v>
      </c>
      <c r="H12" t="s">
        <v>41</v>
      </c>
      <c r="I12" t="s">
        <v>42</v>
      </c>
      <c r="J12" t="s">
        <v>43</v>
      </c>
      <c r="K12" t="s">
        <v>90</v>
      </c>
      <c r="L12" t="s">
        <v>91</v>
      </c>
      <c r="M12" t="s">
        <v>92</v>
      </c>
      <c r="N12" t="s">
        <v>47</v>
      </c>
      <c r="O12" t="s">
        <v>48</v>
      </c>
      <c r="P12" t="s">
        <v>48</v>
      </c>
      <c r="Q12" t="s">
        <v>93</v>
      </c>
      <c r="R12" t="s">
        <v>37</v>
      </c>
      <c r="S12" t="s">
        <v>94</v>
      </c>
      <c r="T12">
        <v>295378</v>
      </c>
      <c r="U12">
        <v>0</v>
      </c>
      <c r="V12" t="s">
        <v>47</v>
      </c>
      <c r="W12" t="str">
        <f>"CEO"</f>
        <v>CEO</v>
      </c>
      <c r="X12" s="1">
        <v>36161</v>
      </c>
      <c r="Y12" t="str">
        <f>"AXI System"</f>
        <v>AXI System</v>
      </c>
      <c r="Z12" t="str">
        <f>"1-9177708654"</f>
        <v>1-9177708654</v>
      </c>
      <c r="AA12" t="str">
        <f>"165 Broadway"</f>
        <v>165 Broadway</v>
      </c>
      <c r="AB12" t="str">
        <f>"Fl 23"</f>
        <v>Fl 23</v>
      </c>
      <c r="AC12" t="str">
        <f>"New York"</f>
        <v>New York</v>
      </c>
      <c r="AD12" t="str">
        <f t="shared" si="1"/>
        <v>NY</v>
      </c>
      <c r="AE12" t="str">
        <f>"10006"</f>
        <v>10006</v>
      </c>
      <c r="AF12" t="s">
        <v>51</v>
      </c>
      <c r="AG12" t="str">
        <f>""</f>
        <v/>
      </c>
      <c r="AH12" t="str">
        <f>"Services"</f>
        <v>Services</v>
      </c>
      <c r="AI12" t="str">
        <f>"Has your firm worked on DASNY projects as a prime or sub-contractor?"</f>
        <v>Has your firm worked on DASNY projects as a prime or sub-contractor?</v>
      </c>
      <c r="AJ12" t="str">
        <f>""</f>
        <v/>
      </c>
    </row>
    <row r="13" spans="1:36" x14ac:dyDescent="0.35">
      <c r="A13">
        <v>11</v>
      </c>
      <c r="B13" t="str">
        <f t="shared" si="0"/>
        <v>203620166296150098</v>
      </c>
      <c r="C13">
        <v>1720138377</v>
      </c>
      <c r="D13" t="s">
        <v>37</v>
      </c>
      <c r="E13" t="s">
        <v>38</v>
      </c>
      <c r="F13" t="s">
        <v>39</v>
      </c>
      <c r="G13" t="s">
        <v>40</v>
      </c>
      <c r="H13" t="s">
        <v>41</v>
      </c>
      <c r="I13" t="s">
        <v>42</v>
      </c>
      <c r="J13" t="s">
        <v>43</v>
      </c>
      <c r="K13" t="s">
        <v>95</v>
      </c>
      <c r="L13" t="s">
        <v>96</v>
      </c>
      <c r="M13" t="s">
        <v>97</v>
      </c>
      <c r="N13" t="s">
        <v>47</v>
      </c>
      <c r="O13" t="s">
        <v>48</v>
      </c>
      <c r="P13" t="s">
        <v>48</v>
      </c>
      <c r="Q13" t="s">
        <v>98</v>
      </c>
      <c r="R13" t="s">
        <v>99</v>
      </c>
      <c r="S13" t="s">
        <v>100</v>
      </c>
      <c r="T13">
        <v>233110</v>
      </c>
      <c r="U13">
        <v>0</v>
      </c>
      <c r="V13" t="s">
        <v>47</v>
      </c>
      <c r="W13" t="str">
        <f>"Construction Service Specialist"</f>
        <v>Construction Service Specialist</v>
      </c>
      <c r="X13" s="1">
        <v>36161</v>
      </c>
      <c r="Y13" t="str">
        <f>"DASNY"</f>
        <v>DASNY</v>
      </c>
      <c r="Z13" t="str">
        <f>"1-212-273-5038"</f>
        <v>1-212-273-5038</v>
      </c>
      <c r="AA13" t="str">
        <f>"28 Liberty St"</f>
        <v>28 Liberty St</v>
      </c>
      <c r="AB13" t="str">
        <f>"55th fl"</f>
        <v>55th fl</v>
      </c>
      <c r="AC13" t="str">
        <f>"New Yoek"</f>
        <v>New Yoek</v>
      </c>
      <c r="AD13" t="str">
        <f t="shared" si="1"/>
        <v>NY</v>
      </c>
      <c r="AE13" t="str">
        <f>"10005"</f>
        <v>10005</v>
      </c>
      <c r="AF13" t="s">
        <v>51</v>
      </c>
      <c r="AG13" t="str">
        <f>""</f>
        <v/>
      </c>
      <c r="AH13" t="str">
        <f>"Construction/Finance"</f>
        <v>Construction/Finance</v>
      </c>
      <c r="AI13" t="str">
        <f>"Is your firm currently a DASNY JOC Contractor?"</f>
        <v>Is your firm currently a DASNY JOC Contractor?</v>
      </c>
      <c r="AJ13" t="str">
        <f>""</f>
        <v/>
      </c>
    </row>
    <row r="14" spans="1:36" x14ac:dyDescent="0.35">
      <c r="A14">
        <v>12</v>
      </c>
      <c r="B14" t="str">
        <f t="shared" si="0"/>
        <v>203620166296150098</v>
      </c>
      <c r="C14">
        <v>1720138377</v>
      </c>
      <c r="D14" t="s">
        <v>37</v>
      </c>
      <c r="E14" t="s">
        <v>38</v>
      </c>
      <c r="F14" t="s">
        <v>39</v>
      </c>
      <c r="G14" t="s">
        <v>40</v>
      </c>
      <c r="H14" t="s">
        <v>41</v>
      </c>
      <c r="I14" t="s">
        <v>42</v>
      </c>
      <c r="J14" t="s">
        <v>43</v>
      </c>
      <c r="K14" t="s">
        <v>101</v>
      </c>
      <c r="L14" t="s">
        <v>102</v>
      </c>
      <c r="M14" t="s">
        <v>103</v>
      </c>
      <c r="N14" t="s">
        <v>47</v>
      </c>
      <c r="O14" t="s">
        <v>48</v>
      </c>
      <c r="P14" t="s">
        <v>48</v>
      </c>
      <c r="Q14" t="s">
        <v>104</v>
      </c>
      <c r="R14" t="s">
        <v>37</v>
      </c>
      <c r="S14" t="s">
        <v>105</v>
      </c>
      <c r="T14">
        <v>721641</v>
      </c>
      <c r="U14">
        <v>0</v>
      </c>
      <c r="V14" t="s">
        <v>47</v>
      </c>
      <c r="W14" t="str">
        <f>"Estimator"</f>
        <v>Estimator</v>
      </c>
      <c r="X14" s="1">
        <v>36161</v>
      </c>
      <c r="Y14" t="str">
        <f>"Project Eye Inc."</f>
        <v>Project Eye Inc.</v>
      </c>
      <c r="Z14" t="str">
        <f>"1-7186333946"</f>
        <v>1-7186333946</v>
      </c>
      <c r="AA14" t="str">
        <f>"2096 Clove Road"</f>
        <v>2096 Clove Road</v>
      </c>
      <c r="AB14" t="str">
        <f>"2096 Clove Road"</f>
        <v>2096 Clove Road</v>
      </c>
      <c r="AC14" t="str">
        <f>"Staten Island"</f>
        <v>Staten Island</v>
      </c>
      <c r="AD14" t="str">
        <f t="shared" si="1"/>
        <v>NY</v>
      </c>
      <c r="AE14" t="str">
        <f>"10305"</f>
        <v>10305</v>
      </c>
      <c r="AF14" t="s">
        <v>51</v>
      </c>
      <c r="AG14" t="str">
        <f>""</f>
        <v/>
      </c>
      <c r="AH14" t="str">
        <f>"General Construction"</f>
        <v>General Construction</v>
      </c>
      <c r="AI14" t="str">
        <f>"Has your firm bid on DASNY JOC contract soliciations?"</f>
        <v>Has your firm bid on DASNY JOC contract soliciations?</v>
      </c>
      <c r="AJ14" t="str">
        <f>""</f>
        <v/>
      </c>
    </row>
    <row r="15" spans="1:36" x14ac:dyDescent="0.35">
      <c r="A15">
        <v>13</v>
      </c>
      <c r="B15" t="str">
        <f t="shared" si="0"/>
        <v>203620166296150098</v>
      </c>
      <c r="C15">
        <v>1720138377</v>
      </c>
      <c r="D15" t="s">
        <v>37</v>
      </c>
      <c r="E15" t="s">
        <v>38</v>
      </c>
      <c r="F15" t="s">
        <v>39</v>
      </c>
      <c r="G15" t="s">
        <v>40</v>
      </c>
      <c r="H15" t="s">
        <v>41</v>
      </c>
      <c r="I15" t="s">
        <v>42</v>
      </c>
      <c r="J15" t="s">
        <v>106</v>
      </c>
      <c r="K15" t="s">
        <v>107</v>
      </c>
      <c r="L15" t="s">
        <v>108</v>
      </c>
      <c r="M15" t="s">
        <v>109</v>
      </c>
      <c r="N15" t="s">
        <v>48</v>
      </c>
      <c r="O15" t="s">
        <v>48</v>
      </c>
      <c r="P15" t="s">
        <v>48</v>
      </c>
      <c r="Q15" t="s">
        <v>110</v>
      </c>
      <c r="R15" t="s">
        <v>37</v>
      </c>
      <c r="S15" t="s">
        <v>111</v>
      </c>
      <c r="T15">
        <v>123030</v>
      </c>
      <c r="U15">
        <v>0</v>
      </c>
      <c r="V15" t="s">
        <v>47</v>
      </c>
      <c r="W15" t="str">
        <f>"Sr Director OPG"</f>
        <v>Sr Director OPG</v>
      </c>
      <c r="X15" s="1">
        <v>36161</v>
      </c>
      <c r="Y15" t="str">
        <f>"DASNY"</f>
        <v>DASNY</v>
      </c>
      <c r="Z15" t="str">
        <f>"1-5182573000"</f>
        <v>1-5182573000</v>
      </c>
      <c r="AA15" t="str">
        <f>"515 Broadway"</f>
        <v>515 Broadway</v>
      </c>
      <c r="AB15" t="str">
        <f>"3rd floor"</f>
        <v>3rd floor</v>
      </c>
      <c r="AC15" t="str">
        <f>"Albany"</f>
        <v>Albany</v>
      </c>
      <c r="AD15" t="str">
        <f t="shared" si="1"/>
        <v>NY</v>
      </c>
      <c r="AE15" t="str">
        <f>"12207"</f>
        <v>12207</v>
      </c>
      <c r="AF15" t="s">
        <v>51</v>
      </c>
      <c r="AG15" t="str">
        <f>"5M"</f>
        <v>5M</v>
      </c>
      <c r="AH15" t="str">
        <f>"OPG"</f>
        <v>OPG</v>
      </c>
      <c r="AI15" t="str">
        <f>"Is your firm a NYS Certified WBE?"</f>
        <v>Is your firm a NYS Certified WBE?</v>
      </c>
      <c r="AJ15" t="str">
        <f>"40M"</f>
        <v>40M</v>
      </c>
    </row>
    <row r="16" spans="1:36" x14ac:dyDescent="0.35">
      <c r="A16">
        <v>14</v>
      </c>
      <c r="B16" t="str">
        <f t="shared" si="0"/>
        <v>203620166296150098</v>
      </c>
      <c r="C16">
        <v>1720138377</v>
      </c>
      <c r="D16" t="s">
        <v>37</v>
      </c>
      <c r="E16" t="s">
        <v>38</v>
      </c>
      <c r="F16" t="s">
        <v>39</v>
      </c>
      <c r="G16" t="s">
        <v>40</v>
      </c>
      <c r="H16" t="s">
        <v>41</v>
      </c>
      <c r="I16" t="s">
        <v>42</v>
      </c>
      <c r="J16" t="s">
        <v>43</v>
      </c>
      <c r="K16" t="s">
        <v>112</v>
      </c>
      <c r="L16" t="s">
        <v>113</v>
      </c>
      <c r="M16" t="s">
        <v>114</v>
      </c>
      <c r="N16" t="s">
        <v>47</v>
      </c>
      <c r="O16" t="s">
        <v>48</v>
      </c>
      <c r="P16" t="s">
        <v>48</v>
      </c>
      <c r="Q16" t="s">
        <v>115</v>
      </c>
      <c r="R16" t="s">
        <v>37</v>
      </c>
      <c r="S16" t="s">
        <v>116</v>
      </c>
      <c r="T16">
        <v>640861</v>
      </c>
      <c r="U16">
        <v>0</v>
      </c>
      <c r="V16" t="s">
        <v>48</v>
      </c>
      <c r="W16" t="str">
        <f>"Managing Member"</f>
        <v>Managing Member</v>
      </c>
      <c r="X16" s="1">
        <v>36161</v>
      </c>
      <c r="Y16" t="str">
        <f>"DRL SERVICES LLC"</f>
        <v>DRL SERVICES LLC</v>
      </c>
      <c r="Z16" t="str">
        <f>"1-7327902422"</f>
        <v>1-7327902422</v>
      </c>
      <c r="AA16" t="str">
        <f>"347 Elizabeth Ave, Ste 225"</f>
        <v>347 Elizabeth Ave, Ste 225</v>
      </c>
      <c r="AB16" t="str">
        <f>"347 Elizabeth Ave, Ste 22"</f>
        <v>347 Elizabeth Ave, Ste 22</v>
      </c>
      <c r="AC16" t="str">
        <f>"Somerset"</f>
        <v>Somerset</v>
      </c>
      <c r="AD16" t="str">
        <f>"New Jersey"</f>
        <v>New Jersey</v>
      </c>
      <c r="AE16" t="str">
        <f>"08873"</f>
        <v>08873</v>
      </c>
      <c r="AF16" t="s">
        <v>51</v>
      </c>
      <c r="AG16" t="str">
        <f>"5M"</f>
        <v>5M</v>
      </c>
      <c r="AH16" t="str">
        <f>"General contractor"</f>
        <v>General contractor</v>
      </c>
      <c r="AI16" t="str">
        <f>"Is your firm a Certified MBE?|Is your firm currently a DASNY JOC Contractor?|Has your firm bid on DASNY JOC contract soliciations?"</f>
        <v>Is your firm a Certified MBE?|Is your firm currently a DASNY JOC Contractor?|Has your firm bid on DASNY JOC contract soliciations?</v>
      </c>
      <c r="AJ16" t="str">
        <f>"15 M"</f>
        <v>15 M</v>
      </c>
    </row>
    <row r="17" spans="1:36" x14ac:dyDescent="0.35">
      <c r="A17">
        <v>15</v>
      </c>
      <c r="B17" t="str">
        <f t="shared" si="0"/>
        <v>203620166296150098</v>
      </c>
      <c r="C17">
        <v>1720138377</v>
      </c>
      <c r="D17" t="s">
        <v>37</v>
      </c>
      <c r="E17" t="s">
        <v>38</v>
      </c>
      <c r="F17" t="s">
        <v>39</v>
      </c>
      <c r="G17" t="s">
        <v>40</v>
      </c>
      <c r="H17" t="s">
        <v>41</v>
      </c>
      <c r="I17" t="s">
        <v>42</v>
      </c>
      <c r="J17" t="s">
        <v>43</v>
      </c>
      <c r="K17" t="s">
        <v>117</v>
      </c>
      <c r="L17" t="s">
        <v>118</v>
      </c>
      <c r="M17" t="s">
        <v>119</v>
      </c>
      <c r="N17" t="s">
        <v>47</v>
      </c>
      <c r="O17" t="s">
        <v>48</v>
      </c>
      <c r="P17" t="s">
        <v>48</v>
      </c>
      <c r="Q17" t="s">
        <v>115</v>
      </c>
      <c r="R17" t="s">
        <v>37</v>
      </c>
      <c r="S17" t="s">
        <v>120</v>
      </c>
      <c r="T17">
        <v>575789</v>
      </c>
      <c r="U17">
        <v>0</v>
      </c>
      <c r="V17" t="s">
        <v>47</v>
      </c>
      <c r="W17" t="str">
        <f>"PM"</f>
        <v>PM</v>
      </c>
      <c r="X17" s="1">
        <v>36161</v>
      </c>
      <c r="Y17" t="str">
        <f>"CUBE CONSTRUCTION SERVICES LLC"</f>
        <v>CUBE CONSTRUCTION SERVICES LLC</v>
      </c>
      <c r="Z17" t="str">
        <f>"1-2014638831"</f>
        <v>1-2014638831</v>
      </c>
      <c r="AA17" t="str">
        <f>"Cube Construction Services LLC, 17 Peppermint Hill Rd"</f>
        <v>Cube Construction Services LLC, 17 Peppermint Hill Rd</v>
      </c>
      <c r="AB17" t="str">
        <f>"17 Peppermint Hill Rd"</f>
        <v>17 Peppermint Hill Rd</v>
      </c>
      <c r="AC17" t="str">
        <f>"NORTH BRUNSWICK"</f>
        <v>NORTH BRUNSWICK</v>
      </c>
      <c r="AD17" t="str">
        <f>"NJ"</f>
        <v>NJ</v>
      </c>
      <c r="AE17" t="str">
        <f>"08902"</f>
        <v>08902</v>
      </c>
      <c r="AF17" t="s">
        <v>51</v>
      </c>
      <c r="AG17" t="str">
        <f>"12,000,000"</f>
        <v>12,000,000</v>
      </c>
      <c r="AH17" t="str">
        <f>"GC"</f>
        <v>GC</v>
      </c>
      <c r="AI17" t="str">
        <f>"Is your firm a Certified MBE?|Is your firm currently a DASNY JOC Contractor?|Has your firm worked on DASNY projects as a prime or sub-contractor?|Has your firm bid on DASNY JOC contract soliciations?"</f>
        <v>Is your firm a Certified MBE?|Is your firm currently a DASNY JOC Contractor?|Has your firm worked on DASNY projects as a prime or sub-contractor?|Has your firm bid on DASNY JOC contract soliciations?</v>
      </c>
      <c r="AJ17" t="str">
        <f>"24,000,000"</f>
        <v>24,000,000</v>
      </c>
    </row>
    <row r="18" spans="1:36" x14ac:dyDescent="0.35">
      <c r="A18">
        <v>16</v>
      </c>
      <c r="B18" t="str">
        <f t="shared" si="0"/>
        <v>203620166296150098</v>
      </c>
      <c r="C18">
        <v>1720138377</v>
      </c>
      <c r="D18" t="s">
        <v>37</v>
      </c>
      <c r="E18" t="s">
        <v>38</v>
      </c>
      <c r="F18" t="s">
        <v>39</v>
      </c>
      <c r="G18" t="s">
        <v>40</v>
      </c>
      <c r="H18" t="s">
        <v>41</v>
      </c>
      <c r="I18" t="s">
        <v>42</v>
      </c>
      <c r="J18" t="s">
        <v>43</v>
      </c>
      <c r="K18" t="s">
        <v>121</v>
      </c>
      <c r="L18" t="s">
        <v>122</v>
      </c>
      <c r="M18" t="s">
        <v>123</v>
      </c>
      <c r="N18" t="s">
        <v>47</v>
      </c>
      <c r="O18" t="s">
        <v>48</v>
      </c>
      <c r="P18" t="s">
        <v>48</v>
      </c>
      <c r="Q18" t="s">
        <v>124</v>
      </c>
      <c r="R18" t="s">
        <v>37</v>
      </c>
      <c r="S18" t="s">
        <v>125</v>
      </c>
      <c r="T18">
        <v>313842</v>
      </c>
      <c r="U18">
        <v>0</v>
      </c>
      <c r="V18" t="s">
        <v>48</v>
      </c>
      <c r="W18" t="str">
        <f>"vice president"</f>
        <v>vice president</v>
      </c>
      <c r="X18" s="1">
        <v>36161</v>
      </c>
      <c r="Y18" t="str">
        <f>"northeast electrical contractors inc"</f>
        <v>northeast electrical contractors inc</v>
      </c>
      <c r="Z18" t="str">
        <f>"1-516-457-9001"</f>
        <v>1-516-457-9001</v>
      </c>
      <c r="AA18" t="str">
        <f>"289 suburban ave"</f>
        <v>289 suburban ave</v>
      </c>
      <c r="AB18" t="str">
        <f>"ste G"</f>
        <v>ste G</v>
      </c>
      <c r="AC18" t="str">
        <f>"deer park"</f>
        <v>deer park</v>
      </c>
      <c r="AD18" t="str">
        <f>"ny"</f>
        <v>ny</v>
      </c>
      <c r="AE18" t="str">
        <f>"11729"</f>
        <v>11729</v>
      </c>
      <c r="AF18" t="s">
        <v>51</v>
      </c>
      <c r="AG18" t="str">
        <f>"3,000,000"</f>
        <v>3,000,000</v>
      </c>
      <c r="AH18" t="str">
        <f>"electrical"</f>
        <v>electrical</v>
      </c>
      <c r="AI18" t="str">
        <f>"Trade contract you are interested in bidding (use semi-colon to seperate each listing)|Has your firm worked on DASNY projects as a prime or sub-contractor?"</f>
        <v>Trade contract you are interested in bidding (use semi-colon to seperate each listing)|Has your firm worked on DASNY projects as a prime or sub-contractor?</v>
      </c>
      <c r="AJ18" t="str">
        <f>"6,000,000"</f>
        <v>6,000,000</v>
      </c>
    </row>
    <row r="19" spans="1:36" x14ac:dyDescent="0.35">
      <c r="A19">
        <v>17</v>
      </c>
      <c r="B19" t="str">
        <f t="shared" si="0"/>
        <v>203620166296150098</v>
      </c>
      <c r="C19">
        <v>1720138377</v>
      </c>
      <c r="D19" t="s">
        <v>37</v>
      </c>
      <c r="E19" t="s">
        <v>38</v>
      </c>
      <c r="F19" t="s">
        <v>39</v>
      </c>
      <c r="G19" t="s">
        <v>40</v>
      </c>
      <c r="H19" t="s">
        <v>41</v>
      </c>
      <c r="I19" t="s">
        <v>42</v>
      </c>
      <c r="J19" t="s">
        <v>106</v>
      </c>
      <c r="K19" t="s">
        <v>126</v>
      </c>
      <c r="L19" t="s">
        <v>127</v>
      </c>
      <c r="M19" t="s">
        <v>128</v>
      </c>
      <c r="N19" t="s">
        <v>48</v>
      </c>
      <c r="O19" t="s">
        <v>48</v>
      </c>
      <c r="P19" t="s">
        <v>48</v>
      </c>
      <c r="Q19" t="s">
        <v>129</v>
      </c>
      <c r="R19" t="s">
        <v>37</v>
      </c>
      <c r="S19" t="s">
        <v>130</v>
      </c>
      <c r="T19">
        <v>523231</v>
      </c>
      <c r="U19">
        <v>0</v>
      </c>
      <c r="V19" t="s">
        <v>48</v>
      </c>
      <c r="W19" t="str">
        <f>"Assistant Director, C+M"</f>
        <v>Assistant Director, C+M</v>
      </c>
      <c r="X19" t="s">
        <v>131</v>
      </c>
      <c r="Y19" t="str">
        <f>"DASNY"</f>
        <v>DASNY</v>
      </c>
      <c r="Z19" t="str">
        <f>"1-518-257-3388"</f>
        <v>1-518-257-3388</v>
      </c>
      <c r="AA19" t="str">
        <f>"515 Broadway"</f>
        <v>515 Broadway</v>
      </c>
      <c r="AB19" t="str">
        <f>"6th Floor"</f>
        <v>6th Floor</v>
      </c>
      <c r="AC19" t="str">
        <f>"Albany"</f>
        <v>Albany</v>
      </c>
      <c r="AD19" t="str">
        <f>"NY"</f>
        <v>NY</v>
      </c>
      <c r="AE19" t="str">
        <f>"12207"</f>
        <v>12207</v>
      </c>
      <c r="AF19" t="s">
        <v>51</v>
      </c>
      <c r="AG19" t="str">
        <f>""</f>
        <v/>
      </c>
      <c r="AH19" t="str">
        <f>"Communications"</f>
        <v>Communications</v>
      </c>
      <c r="AI19" t="str">
        <f>"Has your firm worked on DASNY projects as a prime or sub-contractor?"</f>
        <v>Has your firm worked on DASNY projects as a prime or sub-contractor?</v>
      </c>
      <c r="AJ19" t="str">
        <f>""</f>
        <v/>
      </c>
    </row>
    <row r="20" spans="1:36" x14ac:dyDescent="0.35">
      <c r="A20">
        <v>18</v>
      </c>
      <c r="B20" t="str">
        <f t="shared" si="0"/>
        <v>203620166296150098</v>
      </c>
      <c r="C20">
        <v>1720138377</v>
      </c>
      <c r="D20" t="s">
        <v>37</v>
      </c>
      <c r="E20" t="s">
        <v>38</v>
      </c>
      <c r="F20" t="s">
        <v>39</v>
      </c>
      <c r="G20" t="s">
        <v>40</v>
      </c>
      <c r="H20" t="s">
        <v>41</v>
      </c>
      <c r="I20" t="s">
        <v>42</v>
      </c>
      <c r="J20" t="s">
        <v>43</v>
      </c>
      <c r="K20" t="s">
        <v>132</v>
      </c>
      <c r="L20" t="s">
        <v>133</v>
      </c>
      <c r="M20" t="s">
        <v>134</v>
      </c>
      <c r="N20" t="s">
        <v>47</v>
      </c>
      <c r="O20" t="s">
        <v>48</v>
      </c>
      <c r="P20" t="s">
        <v>48</v>
      </c>
      <c r="Q20" t="s">
        <v>98</v>
      </c>
      <c r="R20" t="s">
        <v>37</v>
      </c>
      <c r="S20" t="s">
        <v>135</v>
      </c>
      <c r="T20">
        <v>437845</v>
      </c>
      <c r="U20">
        <v>0</v>
      </c>
      <c r="V20" t="s">
        <v>48</v>
      </c>
      <c r="W20" t="str">
        <f>"President"</f>
        <v>President</v>
      </c>
      <c r="X20" s="1">
        <v>36161</v>
      </c>
      <c r="Y20" t="str">
        <f>"Gridspan Corporation"</f>
        <v>Gridspan Corporation</v>
      </c>
      <c r="Z20" t="str">
        <f>"1-732-729-9950"</f>
        <v>1-732-729-9950</v>
      </c>
      <c r="AA20" t="str">
        <f>"3"</f>
        <v>3</v>
      </c>
      <c r="AB20" t="str">
        <f>"Monmouth Dr"</f>
        <v>Monmouth Dr</v>
      </c>
      <c r="AC20" t="str">
        <f>"Monmouth JN"</f>
        <v>Monmouth JN</v>
      </c>
      <c r="AD20" t="str">
        <f>"NJ"</f>
        <v>NJ</v>
      </c>
      <c r="AE20" t="str">
        <f>"08852"</f>
        <v>08852</v>
      </c>
      <c r="AF20" t="s">
        <v>51</v>
      </c>
      <c r="AG20" t="str">
        <f>""</f>
        <v/>
      </c>
      <c r="AH20" t="str">
        <f>"GC"</f>
        <v>GC</v>
      </c>
      <c r="AI20" t="str">
        <f>"Is your firm a Certified MBE?"</f>
        <v>Is your firm a Certified MBE?</v>
      </c>
      <c r="AJ20" t="str">
        <f>""</f>
        <v/>
      </c>
    </row>
    <row r="21" spans="1:36" x14ac:dyDescent="0.35">
      <c r="A21">
        <v>19</v>
      </c>
      <c r="B21" t="str">
        <f t="shared" si="0"/>
        <v>203620166296150098</v>
      </c>
      <c r="C21">
        <v>1720138377</v>
      </c>
      <c r="D21" t="s">
        <v>37</v>
      </c>
      <c r="E21" t="s">
        <v>38</v>
      </c>
      <c r="F21" t="s">
        <v>39</v>
      </c>
      <c r="G21" t="s">
        <v>40</v>
      </c>
      <c r="H21" t="s">
        <v>41</v>
      </c>
      <c r="I21" t="s">
        <v>42</v>
      </c>
      <c r="J21" t="s">
        <v>43</v>
      </c>
      <c r="K21" t="s">
        <v>136</v>
      </c>
      <c r="L21" t="s">
        <v>137</v>
      </c>
      <c r="M21" t="s">
        <v>138</v>
      </c>
      <c r="N21" t="s">
        <v>47</v>
      </c>
      <c r="O21" t="s">
        <v>48</v>
      </c>
      <c r="P21" t="s">
        <v>48</v>
      </c>
      <c r="Q21" t="s">
        <v>41</v>
      </c>
      <c r="R21" t="s">
        <v>37</v>
      </c>
      <c r="S21" t="s">
        <v>139</v>
      </c>
      <c r="T21">
        <v>844895</v>
      </c>
      <c r="U21">
        <v>0</v>
      </c>
      <c r="V21" t="s">
        <v>48</v>
      </c>
      <c r="W21" t="str">
        <f>"VP"</f>
        <v>VP</v>
      </c>
      <c r="X21" s="1">
        <v>36161</v>
      </c>
      <c r="Y21" t="str">
        <f>"UGL CORP"</f>
        <v>UGL CORP</v>
      </c>
      <c r="Z21" t="str">
        <f>"1-6464654932"</f>
        <v>1-6464654932</v>
      </c>
      <c r="AA21" t="str">
        <f>"824 JAMAICA AVE"</f>
        <v>824 JAMAICA AVE</v>
      </c>
      <c r="AB21" t="str">
        <f>"N/A"</f>
        <v>N/A</v>
      </c>
      <c r="AC21" t="str">
        <f>"BROOKLYN"</f>
        <v>BROOKLYN</v>
      </c>
      <c r="AD21" t="str">
        <f>"NEW YORK"</f>
        <v>NEW YORK</v>
      </c>
      <c r="AE21" t="str">
        <f>"11208"</f>
        <v>11208</v>
      </c>
      <c r="AF21" t="s">
        <v>51</v>
      </c>
      <c r="AG21" t="str">
        <f>""</f>
        <v/>
      </c>
      <c r="AH21" t="str">
        <f>"GC"</f>
        <v>GC</v>
      </c>
      <c r="AI21" t="str">
        <f>"Is your firm a Certified MBE?"</f>
        <v>Is your firm a Certified MBE?</v>
      </c>
      <c r="AJ21" t="str">
        <f>""</f>
        <v/>
      </c>
    </row>
    <row r="22" spans="1:36" x14ac:dyDescent="0.35">
      <c r="A22">
        <v>20</v>
      </c>
      <c r="B22" t="str">
        <f t="shared" si="0"/>
        <v>203620166296150098</v>
      </c>
      <c r="C22">
        <v>1720138377</v>
      </c>
      <c r="D22" t="s">
        <v>37</v>
      </c>
      <c r="E22" t="s">
        <v>38</v>
      </c>
      <c r="F22" t="s">
        <v>39</v>
      </c>
      <c r="G22" t="s">
        <v>40</v>
      </c>
      <c r="H22" t="s">
        <v>41</v>
      </c>
      <c r="I22" t="s">
        <v>42</v>
      </c>
      <c r="J22" t="s">
        <v>43</v>
      </c>
      <c r="K22" t="s">
        <v>140</v>
      </c>
      <c r="L22" t="s">
        <v>141</v>
      </c>
      <c r="M22" t="s">
        <v>142</v>
      </c>
      <c r="N22" t="s">
        <v>47</v>
      </c>
      <c r="O22" t="s">
        <v>48</v>
      </c>
      <c r="P22" t="s">
        <v>48</v>
      </c>
      <c r="Q22" t="s">
        <v>143</v>
      </c>
      <c r="R22" t="s">
        <v>37</v>
      </c>
      <c r="S22" t="s">
        <v>144</v>
      </c>
      <c r="T22">
        <v>486906</v>
      </c>
      <c r="U22">
        <v>0</v>
      </c>
      <c r="V22" t="s">
        <v>48</v>
      </c>
      <c r="W22" t="str">
        <f>"President"</f>
        <v>President</v>
      </c>
      <c r="X22" s="1">
        <v>36161</v>
      </c>
      <c r="Y22" t="str">
        <f>"SK Construction and Management Inc"</f>
        <v>SK Construction and Management Inc</v>
      </c>
      <c r="Z22" t="str">
        <f>"1-8458594200"</f>
        <v>1-8458594200</v>
      </c>
      <c r="AA22" t="str">
        <f>"312 main street"</f>
        <v>312 main street</v>
      </c>
      <c r="AB22" t="str">
        <f>"Main Street"</f>
        <v>Main Street</v>
      </c>
      <c r="AC22" t="str">
        <f>"Highland falls"</f>
        <v>Highland falls</v>
      </c>
      <c r="AD22" t="str">
        <f>"NY"</f>
        <v>NY</v>
      </c>
      <c r="AE22" t="str">
        <f>"10928"</f>
        <v>10928</v>
      </c>
      <c r="AF22" t="s">
        <v>51</v>
      </c>
      <c r="AG22" t="str">
        <f>"5 million"</f>
        <v>5 million</v>
      </c>
      <c r="AH22" t="str">
        <f>"General Construction"</f>
        <v>General Construction</v>
      </c>
      <c r="AI22" t="str">
        <f>"Is your firm a Certified MBE?|Is your firm currently a DASNY JOC Contractor?|Trade contract you are interested in bidding (use semi-colon to seperate each listing)|Has your firm bid on DASNY JOC contract soliciations?"</f>
        <v>Is your firm a Certified MBE?|Is your firm currently a DASNY JOC Contractor?|Trade contract you are interested in bidding (use semi-colon to seperate each listing)|Has your firm bid on DASNY JOC contract soliciations?</v>
      </c>
      <c r="AJ22" t="str">
        <f>"10 million"</f>
        <v>10 million</v>
      </c>
    </row>
    <row r="23" spans="1:36" x14ac:dyDescent="0.35">
      <c r="A23">
        <v>21</v>
      </c>
      <c r="B23" t="str">
        <f t="shared" si="0"/>
        <v>203620166296150098</v>
      </c>
      <c r="C23">
        <v>1720138377</v>
      </c>
      <c r="D23" t="s">
        <v>37</v>
      </c>
      <c r="E23" t="s">
        <v>38</v>
      </c>
      <c r="F23" t="s">
        <v>39</v>
      </c>
      <c r="G23" t="s">
        <v>40</v>
      </c>
      <c r="H23" t="s">
        <v>41</v>
      </c>
      <c r="I23" t="s">
        <v>42</v>
      </c>
      <c r="J23" t="s">
        <v>43</v>
      </c>
      <c r="K23" t="s">
        <v>145</v>
      </c>
      <c r="L23" t="s">
        <v>146</v>
      </c>
      <c r="M23" t="s">
        <v>147</v>
      </c>
      <c r="N23" t="s">
        <v>47</v>
      </c>
      <c r="O23" t="s">
        <v>48</v>
      </c>
      <c r="P23" t="s">
        <v>48</v>
      </c>
      <c r="Q23" t="s">
        <v>93</v>
      </c>
      <c r="R23" t="s">
        <v>37</v>
      </c>
      <c r="S23" t="s">
        <v>148</v>
      </c>
      <c r="T23">
        <v>805582</v>
      </c>
      <c r="U23">
        <v>0</v>
      </c>
      <c r="V23" t="s">
        <v>48</v>
      </c>
      <c r="W23" t="str">
        <f>"President"</f>
        <v>President</v>
      </c>
      <c r="X23" s="1">
        <v>36161</v>
      </c>
      <c r="Y23" t="str">
        <f>"Sierra Mechanical Contracting, Inc."</f>
        <v>Sierra Mechanical Contracting, Inc.</v>
      </c>
      <c r="Z23" t="str">
        <f>"1-7324410500"</f>
        <v>1-7324410500</v>
      </c>
      <c r="AA23" t="str">
        <f>"1070 U.S. Highway 34"</f>
        <v>1070 U.S. Highway 34</v>
      </c>
      <c r="AB23" t="str">
        <f>"Suite 213"</f>
        <v>Suite 213</v>
      </c>
      <c r="AC23" t="str">
        <f>"Matawan"</f>
        <v>Matawan</v>
      </c>
      <c r="AD23" t="str">
        <f>"NJ"</f>
        <v>NJ</v>
      </c>
      <c r="AE23" t="str">
        <f>"07747"</f>
        <v>07747</v>
      </c>
      <c r="AF23" t="s">
        <v>51</v>
      </c>
      <c r="AG23" t="str">
        <f>"10,000,000"</f>
        <v>10,000,000</v>
      </c>
      <c r="AH23" t="str">
        <f>"HVAC"</f>
        <v>HVAC</v>
      </c>
      <c r="AI23" t="s">
        <v>52</v>
      </c>
      <c r="AJ23" t="str">
        <f>"20,000,0000"</f>
        <v>20,000,0000</v>
      </c>
    </row>
    <row r="24" spans="1:36" x14ac:dyDescent="0.35">
      <c r="A24">
        <v>22</v>
      </c>
      <c r="B24" t="str">
        <f t="shared" si="0"/>
        <v>203620166296150098</v>
      </c>
      <c r="C24">
        <v>1720138377</v>
      </c>
      <c r="D24" t="s">
        <v>37</v>
      </c>
      <c r="E24" t="s">
        <v>38</v>
      </c>
      <c r="F24" t="s">
        <v>39</v>
      </c>
      <c r="G24" t="s">
        <v>40</v>
      </c>
      <c r="H24" t="s">
        <v>41</v>
      </c>
      <c r="I24" t="s">
        <v>42</v>
      </c>
      <c r="J24" t="s">
        <v>43</v>
      </c>
      <c r="K24" t="s">
        <v>149</v>
      </c>
      <c r="L24" t="s">
        <v>150</v>
      </c>
      <c r="M24" t="s">
        <v>151</v>
      </c>
      <c r="N24" t="s">
        <v>47</v>
      </c>
      <c r="O24" t="s">
        <v>48</v>
      </c>
      <c r="P24" t="s">
        <v>48</v>
      </c>
      <c r="Q24" t="s">
        <v>152</v>
      </c>
      <c r="R24" t="s">
        <v>37</v>
      </c>
      <c r="S24" t="s">
        <v>153</v>
      </c>
      <c r="T24">
        <v>263385</v>
      </c>
      <c r="U24">
        <v>0</v>
      </c>
      <c r="V24" t="s">
        <v>47</v>
      </c>
      <c r="W24" t="str">
        <f>"Assistant Dir. OPG"</f>
        <v>Assistant Dir. OPG</v>
      </c>
      <c r="X24" s="1">
        <v>36161</v>
      </c>
      <c r="Y24" t="str">
        <f>"DASNY"</f>
        <v>DASNY</v>
      </c>
      <c r="Z24" t="str">
        <f>"1-518 2573000"</f>
        <v>1-518 2573000</v>
      </c>
      <c r="AA24" t="str">
        <f>"515 Broadway"</f>
        <v>515 Broadway</v>
      </c>
      <c r="AB24" t="str">
        <f>"515 Broadway"</f>
        <v>515 Broadway</v>
      </c>
      <c r="AC24" t="str">
        <f>"Albany"</f>
        <v>Albany</v>
      </c>
      <c r="AD24" t="str">
        <f>"New York"</f>
        <v>New York</v>
      </c>
      <c r="AE24" t="str">
        <f>"122207"</f>
        <v>122207</v>
      </c>
      <c r="AF24" t="s">
        <v>51</v>
      </c>
      <c r="AG24" t="str">
        <f>"100"</f>
        <v>100</v>
      </c>
      <c r="AH24" t="str">
        <f>"construction"</f>
        <v>construction</v>
      </c>
      <c r="AI24" t="s">
        <v>154</v>
      </c>
      <c r="AJ24" t="str">
        <f>"100"</f>
        <v>100</v>
      </c>
    </row>
    <row r="25" spans="1:36" x14ac:dyDescent="0.35">
      <c r="A25">
        <v>23</v>
      </c>
      <c r="B25" t="str">
        <f t="shared" si="0"/>
        <v>203620166296150098</v>
      </c>
      <c r="C25">
        <v>1720138377</v>
      </c>
      <c r="D25" t="s">
        <v>37</v>
      </c>
      <c r="E25" t="s">
        <v>38</v>
      </c>
      <c r="F25" t="s">
        <v>39</v>
      </c>
      <c r="G25" t="s">
        <v>40</v>
      </c>
      <c r="H25" t="s">
        <v>41</v>
      </c>
      <c r="I25" t="s">
        <v>42</v>
      </c>
      <c r="J25" t="s">
        <v>43</v>
      </c>
      <c r="K25" t="s">
        <v>155</v>
      </c>
      <c r="L25" t="s">
        <v>156</v>
      </c>
      <c r="M25" t="s">
        <v>157</v>
      </c>
      <c r="N25" t="s">
        <v>47</v>
      </c>
      <c r="O25" t="s">
        <v>48</v>
      </c>
      <c r="P25" t="s">
        <v>48</v>
      </c>
      <c r="Q25" t="s">
        <v>158</v>
      </c>
      <c r="R25" t="s">
        <v>37</v>
      </c>
      <c r="S25" t="s">
        <v>159</v>
      </c>
      <c r="T25">
        <v>319533</v>
      </c>
      <c r="U25">
        <v>0</v>
      </c>
      <c r="V25" t="s">
        <v>48</v>
      </c>
      <c r="W25" t="str">
        <f>"Estimator"</f>
        <v>Estimator</v>
      </c>
      <c r="X25" s="1">
        <v>36161</v>
      </c>
      <c r="Y25" t="str">
        <f>"FYAHWORKSINC"</f>
        <v>FYAHWORKSINC</v>
      </c>
      <c r="Z25" t="str">
        <f>"1-3474404458"</f>
        <v>1-3474404458</v>
      </c>
      <c r="AA25" t="str">
        <f>"187-16 ridgedale st"</f>
        <v>187-16 ridgedale st</v>
      </c>
      <c r="AB25" t="str">
        <f>"187-16 ridgedale st"</f>
        <v>187-16 ridgedale st</v>
      </c>
      <c r="AC25" t="str">
        <f>"Springfield gdns"</f>
        <v>Springfield gdns</v>
      </c>
      <c r="AD25" t="str">
        <f>"NY"</f>
        <v>NY</v>
      </c>
      <c r="AE25" t="str">
        <f>"11413"</f>
        <v>11413</v>
      </c>
      <c r="AF25" t="s">
        <v>51</v>
      </c>
      <c r="AG25" t="str">
        <f>""</f>
        <v/>
      </c>
      <c r="AH25" t="str">
        <f>"Mechanical insulation"</f>
        <v>Mechanical insulation</v>
      </c>
      <c r="AI25" t="str">
        <f>"Is your firm a NYS Certified SVDOB?"</f>
        <v>Is your firm a NYS Certified SVDOB?</v>
      </c>
      <c r="AJ25" t="str">
        <f>""</f>
        <v/>
      </c>
    </row>
    <row r="26" spans="1:36" x14ac:dyDescent="0.35">
      <c r="A26">
        <v>24</v>
      </c>
      <c r="B26" t="str">
        <f t="shared" si="0"/>
        <v>203620166296150098</v>
      </c>
      <c r="C26">
        <v>1720138377</v>
      </c>
      <c r="D26" t="s">
        <v>37</v>
      </c>
      <c r="E26" t="s">
        <v>38</v>
      </c>
      <c r="F26" t="s">
        <v>39</v>
      </c>
      <c r="G26" t="s">
        <v>40</v>
      </c>
      <c r="H26" t="s">
        <v>41</v>
      </c>
      <c r="I26" t="s">
        <v>42</v>
      </c>
      <c r="J26" t="s">
        <v>43</v>
      </c>
      <c r="K26" t="s">
        <v>160</v>
      </c>
      <c r="L26" t="s">
        <v>161</v>
      </c>
      <c r="M26" t="s">
        <v>162</v>
      </c>
      <c r="N26" t="s">
        <v>47</v>
      </c>
      <c r="O26" t="s">
        <v>48</v>
      </c>
      <c r="P26" t="s">
        <v>48</v>
      </c>
      <c r="Q26" t="s">
        <v>163</v>
      </c>
      <c r="R26" t="s">
        <v>37</v>
      </c>
      <c r="S26" t="s">
        <v>164</v>
      </c>
      <c r="T26">
        <v>847955</v>
      </c>
      <c r="U26">
        <v>0</v>
      </c>
      <c r="V26" t="s">
        <v>48</v>
      </c>
      <c r="W26" t="str">
        <f>"President"</f>
        <v>President</v>
      </c>
      <c r="X26" s="1">
        <v>36161</v>
      </c>
      <c r="Y26" t="str">
        <f>"Gemini Electric Co., Inc"</f>
        <v>Gemini Electric Co., Inc</v>
      </c>
      <c r="Z26" t="str">
        <f>"1-7186546700"</f>
        <v>1-7186546700</v>
      </c>
      <c r="AA26" t="str">
        <f>"2460 Williamsbridge Rd,"</f>
        <v>2460 Williamsbridge Rd,</v>
      </c>
      <c r="AB26" t="str">
        <f>"2nd Floor"</f>
        <v>2nd Floor</v>
      </c>
      <c r="AC26" t="str">
        <f>"Bronx"</f>
        <v>Bronx</v>
      </c>
      <c r="AD26" t="str">
        <f>"New York"</f>
        <v>New York</v>
      </c>
      <c r="AE26" t="str">
        <f>"10469"</f>
        <v>10469</v>
      </c>
      <c r="AF26" t="s">
        <v>51</v>
      </c>
      <c r="AG26" t="str">
        <f>""</f>
        <v/>
      </c>
      <c r="AH26" t="str">
        <f>"Electric"</f>
        <v>Electric</v>
      </c>
      <c r="AI26" t="str">
        <f>"Is your firm currently a DASNY JOC Contractor?"</f>
        <v>Is your firm currently a DASNY JOC Contractor?</v>
      </c>
      <c r="AJ26" t="str">
        <f>""</f>
        <v/>
      </c>
    </row>
    <row r="27" spans="1:36" x14ac:dyDescent="0.35">
      <c r="A27">
        <v>25</v>
      </c>
      <c r="B27" t="str">
        <f t="shared" si="0"/>
        <v>203620166296150098</v>
      </c>
      <c r="C27">
        <v>1720138377</v>
      </c>
      <c r="D27" t="s">
        <v>37</v>
      </c>
      <c r="E27" t="s">
        <v>38</v>
      </c>
      <c r="F27" t="s">
        <v>39</v>
      </c>
      <c r="G27" t="s">
        <v>40</v>
      </c>
      <c r="H27" t="s">
        <v>41</v>
      </c>
      <c r="I27" t="s">
        <v>42</v>
      </c>
      <c r="J27" t="s">
        <v>43</v>
      </c>
      <c r="K27" t="s">
        <v>165</v>
      </c>
      <c r="L27" t="s">
        <v>166</v>
      </c>
      <c r="M27" t="s">
        <v>167</v>
      </c>
      <c r="N27" t="s">
        <v>47</v>
      </c>
      <c r="O27" t="s">
        <v>48</v>
      </c>
      <c r="P27" t="s">
        <v>48</v>
      </c>
      <c r="Q27" t="s">
        <v>168</v>
      </c>
      <c r="R27" t="s">
        <v>37</v>
      </c>
      <c r="S27" t="s">
        <v>169</v>
      </c>
      <c r="T27">
        <v>921587</v>
      </c>
      <c r="U27">
        <v>0</v>
      </c>
      <c r="V27" t="s">
        <v>48</v>
      </c>
      <c r="W27" t="str">
        <f>"President"</f>
        <v>President</v>
      </c>
      <c r="X27" s="1">
        <v>36161</v>
      </c>
      <c r="Y27" t="str">
        <f>"R.J. Enterprises (LCR Inc.)"</f>
        <v>R.J. Enterprises (LCR Inc.)</v>
      </c>
      <c r="Z27" t="str">
        <f>"1-718-937-0848"</f>
        <v>1-718-937-0848</v>
      </c>
      <c r="AA27" t="str">
        <f>"38-14 30 Street"</f>
        <v>38-14 30 Street</v>
      </c>
      <c r="AB27" t="str">
        <f>"2nd Floor"</f>
        <v>2nd Floor</v>
      </c>
      <c r="AC27" t="str">
        <f>"Long Island City"</f>
        <v>Long Island City</v>
      </c>
      <c r="AD27" t="str">
        <f>"NY"</f>
        <v>NY</v>
      </c>
      <c r="AE27" t="str">
        <f>"11101"</f>
        <v>11101</v>
      </c>
      <c r="AF27" t="s">
        <v>51</v>
      </c>
      <c r="AG27" t="str">
        <f>"N/A"</f>
        <v>N/A</v>
      </c>
      <c r="AH27" t="str">
        <f>"Voice/Data Telecommunications/IT Hardware"</f>
        <v>Voice/Data Telecommunications/IT Hardware</v>
      </c>
      <c r="AI27" t="str">
        <f>"Is your firm a Certified MBE?|Has your firm worked on DASNY projects as a prime or sub-contractor?"</f>
        <v>Is your firm a Certified MBE?|Has your firm worked on DASNY projects as a prime or sub-contractor?</v>
      </c>
      <c r="AJ27" t="str">
        <f>"N/A"</f>
        <v>N/A</v>
      </c>
    </row>
    <row r="28" spans="1:36" x14ac:dyDescent="0.35">
      <c r="A28">
        <v>26</v>
      </c>
      <c r="B28" t="str">
        <f t="shared" si="0"/>
        <v>203620166296150098</v>
      </c>
      <c r="C28">
        <v>1720138377</v>
      </c>
      <c r="D28" t="s">
        <v>37</v>
      </c>
      <c r="E28" t="s">
        <v>38</v>
      </c>
      <c r="F28" t="s">
        <v>39</v>
      </c>
      <c r="G28" t="s">
        <v>40</v>
      </c>
      <c r="H28" t="s">
        <v>41</v>
      </c>
      <c r="I28" t="s">
        <v>42</v>
      </c>
      <c r="J28" t="s">
        <v>43</v>
      </c>
      <c r="K28" t="s">
        <v>170</v>
      </c>
      <c r="L28" t="s">
        <v>171</v>
      </c>
      <c r="M28" t="s">
        <v>172</v>
      </c>
      <c r="N28" t="s">
        <v>47</v>
      </c>
      <c r="O28" t="s">
        <v>48</v>
      </c>
      <c r="P28" t="s">
        <v>48</v>
      </c>
      <c r="Q28" t="s">
        <v>173</v>
      </c>
      <c r="R28" t="s">
        <v>37</v>
      </c>
      <c r="S28" t="s">
        <v>174</v>
      </c>
      <c r="T28">
        <v>136231</v>
      </c>
      <c r="U28">
        <v>0</v>
      </c>
      <c r="V28" t="s">
        <v>48</v>
      </c>
      <c r="W28" t="str">
        <f>"ceo"</f>
        <v>ceo</v>
      </c>
      <c r="X28" s="1">
        <v>36161</v>
      </c>
      <c r="Y28" t="str">
        <f>"Exquisite Construction corp"</f>
        <v>Exquisite Construction corp</v>
      </c>
      <c r="Z28" t="str">
        <f>"1-3472368685"</f>
        <v>1-3472368685</v>
      </c>
      <c r="AA28" t="str">
        <f>"95-15 Sutphin Blvd"</f>
        <v>95-15 Sutphin Blvd</v>
      </c>
      <c r="AB28" t="str">
        <f>"queens"</f>
        <v>queens</v>
      </c>
      <c r="AC28" t="str">
        <f>"Jamaica"</f>
        <v>Jamaica</v>
      </c>
      <c r="AD28" t="str">
        <f>"New York"</f>
        <v>New York</v>
      </c>
      <c r="AE28" t="str">
        <f>"11435"</f>
        <v>11435</v>
      </c>
      <c r="AF28" t="s">
        <v>51</v>
      </c>
      <c r="AG28" t="str">
        <f>"na"</f>
        <v>na</v>
      </c>
      <c r="AH28" t="str">
        <f>"finishes"</f>
        <v>finishes</v>
      </c>
      <c r="AI28" t="str">
        <f>"Is your firm a NYS Certified WBE?|Is your firm a Certified MBE?"</f>
        <v>Is your firm a NYS Certified WBE?|Is your firm a Certified MBE?</v>
      </c>
      <c r="AJ28" t="str">
        <f>"na"</f>
        <v>na</v>
      </c>
    </row>
    <row r="29" spans="1:36" x14ac:dyDescent="0.35">
      <c r="A29">
        <v>27</v>
      </c>
      <c r="B29" t="str">
        <f t="shared" si="0"/>
        <v>203620166296150098</v>
      </c>
      <c r="C29">
        <v>1720138377</v>
      </c>
      <c r="D29" t="s">
        <v>37</v>
      </c>
      <c r="E29" t="s">
        <v>38</v>
      </c>
      <c r="F29" t="s">
        <v>39</v>
      </c>
      <c r="G29" t="s">
        <v>40</v>
      </c>
      <c r="H29" t="s">
        <v>41</v>
      </c>
      <c r="I29" t="s">
        <v>42</v>
      </c>
      <c r="J29" t="s">
        <v>43</v>
      </c>
      <c r="K29" t="s">
        <v>175</v>
      </c>
      <c r="L29" t="s">
        <v>176</v>
      </c>
      <c r="M29" t="s">
        <v>177</v>
      </c>
      <c r="N29" t="s">
        <v>47</v>
      </c>
      <c r="O29" t="s">
        <v>48</v>
      </c>
      <c r="P29" t="s">
        <v>48</v>
      </c>
      <c r="Q29" t="s">
        <v>40</v>
      </c>
      <c r="R29" t="s">
        <v>37</v>
      </c>
      <c r="S29" t="s">
        <v>178</v>
      </c>
      <c r="T29">
        <v>352941</v>
      </c>
      <c r="U29">
        <v>0</v>
      </c>
      <c r="V29" t="s">
        <v>47</v>
      </c>
      <c r="W29" t="str">
        <f>"Engineer"</f>
        <v>Engineer</v>
      </c>
      <c r="X29" t="s">
        <v>179</v>
      </c>
      <c r="Y29" t="str">
        <f>"718-383-0004"</f>
        <v>718-383-0004</v>
      </c>
      <c r="Z29" t="str">
        <f>"1-7183830004"</f>
        <v>1-7183830004</v>
      </c>
      <c r="AA29" t="str">
        <f>"231"</f>
        <v>231</v>
      </c>
      <c r="AB29" t="str">
        <f>"Kent Street"</f>
        <v>Kent Street</v>
      </c>
      <c r="AC29" t="str">
        <f>"Brooklyn"</f>
        <v>Brooklyn</v>
      </c>
      <c r="AD29" t="str">
        <f>"NY"</f>
        <v>NY</v>
      </c>
      <c r="AE29" t="str">
        <f>"11222"</f>
        <v>11222</v>
      </c>
      <c r="AF29" t="s">
        <v>51</v>
      </c>
      <c r="AG29" t="str">
        <f>""</f>
        <v/>
      </c>
      <c r="AH29" t="str">
        <f>"Plumbing"</f>
        <v>Plumbing</v>
      </c>
      <c r="AI29" t="str">
        <f>"Has your firm worked on DASNY projects as a prime or sub-contractor?|Has your firm bid on DASNY JOC contract soliciations?"</f>
        <v>Has your firm worked on DASNY projects as a prime or sub-contractor?|Has your firm bid on DASNY JOC contract soliciations?</v>
      </c>
      <c r="AJ29" t="str">
        <f>""</f>
        <v/>
      </c>
    </row>
    <row r="30" spans="1:36" x14ac:dyDescent="0.35">
      <c r="A30">
        <v>28</v>
      </c>
      <c r="B30" t="str">
        <f t="shared" si="0"/>
        <v>203620166296150098</v>
      </c>
      <c r="C30">
        <v>1720138377</v>
      </c>
      <c r="D30" t="s">
        <v>37</v>
      </c>
      <c r="E30" t="s">
        <v>38</v>
      </c>
      <c r="F30" t="s">
        <v>39</v>
      </c>
      <c r="G30" t="s">
        <v>40</v>
      </c>
      <c r="H30" t="s">
        <v>41</v>
      </c>
      <c r="I30" t="s">
        <v>42</v>
      </c>
      <c r="J30" t="s">
        <v>43</v>
      </c>
      <c r="K30" t="s">
        <v>180</v>
      </c>
      <c r="L30" t="s">
        <v>181</v>
      </c>
      <c r="M30" t="s">
        <v>182</v>
      </c>
      <c r="N30" t="s">
        <v>47</v>
      </c>
      <c r="O30" t="s">
        <v>48</v>
      </c>
      <c r="P30" t="s">
        <v>48</v>
      </c>
      <c r="Q30" t="s">
        <v>183</v>
      </c>
      <c r="R30" t="s">
        <v>37</v>
      </c>
      <c r="S30" t="s">
        <v>184</v>
      </c>
      <c r="T30">
        <v>393686</v>
      </c>
      <c r="U30">
        <v>0</v>
      </c>
      <c r="V30" t="s">
        <v>48</v>
      </c>
      <c r="W30" t="str">
        <f>"President"</f>
        <v>President</v>
      </c>
      <c r="X30" s="1">
        <v>36161</v>
      </c>
      <c r="Y30" t="str">
        <f>"Planet Mechanical Corp."</f>
        <v>Planet Mechanical Corp.</v>
      </c>
      <c r="Z30" t="str">
        <f>"1-917 217-0507"</f>
        <v>1-917 217-0507</v>
      </c>
      <c r="AA30" t="str">
        <f>"8-17 37th Avenue"</f>
        <v>8-17 37th Avenue</v>
      </c>
      <c r="AB30" t="str">
        <f>"8-17 37th Avenue"</f>
        <v>8-17 37th Avenue</v>
      </c>
      <c r="AC30" t="str">
        <f>"LIC"</f>
        <v>LIC</v>
      </c>
      <c r="AD30" t="str">
        <f>"NY"</f>
        <v>NY</v>
      </c>
      <c r="AE30" t="str">
        <f>"11101"</f>
        <v>11101</v>
      </c>
      <c r="AF30" t="s">
        <v>51</v>
      </c>
      <c r="AG30" t="str">
        <f>"6,000,000"</f>
        <v>6,000,000</v>
      </c>
      <c r="AH30" t="str">
        <f>"HVAC"</f>
        <v>HVAC</v>
      </c>
      <c r="AI30" t="str">
        <f>"Has your firm worked on DASNY projects as a prime or sub-contractor?"</f>
        <v>Has your firm worked on DASNY projects as a prime or sub-contractor?</v>
      </c>
      <c r="AJ30" t="str">
        <f>""</f>
        <v/>
      </c>
    </row>
    <row r="31" spans="1:36" x14ac:dyDescent="0.35">
      <c r="A31">
        <v>29</v>
      </c>
      <c r="B31" t="str">
        <f t="shared" si="0"/>
        <v>203620166296150098</v>
      </c>
      <c r="C31">
        <v>1720138377</v>
      </c>
      <c r="D31" t="s">
        <v>37</v>
      </c>
      <c r="E31" t="s">
        <v>38</v>
      </c>
      <c r="F31" t="s">
        <v>39</v>
      </c>
      <c r="G31" t="s">
        <v>40</v>
      </c>
      <c r="H31" t="s">
        <v>41</v>
      </c>
      <c r="I31" t="s">
        <v>42</v>
      </c>
      <c r="J31" t="s">
        <v>43</v>
      </c>
      <c r="K31" t="s">
        <v>185</v>
      </c>
      <c r="L31" t="s">
        <v>186</v>
      </c>
      <c r="M31" t="s">
        <v>187</v>
      </c>
      <c r="N31" t="s">
        <v>47</v>
      </c>
      <c r="O31" t="s">
        <v>48</v>
      </c>
      <c r="P31" t="s">
        <v>48</v>
      </c>
      <c r="Q31" t="s">
        <v>163</v>
      </c>
      <c r="R31" t="s">
        <v>37</v>
      </c>
      <c r="S31" t="s">
        <v>188</v>
      </c>
      <c r="T31">
        <v>433412</v>
      </c>
      <c r="U31">
        <v>0</v>
      </c>
      <c r="V31" t="s">
        <v>48</v>
      </c>
      <c r="W31" t="str">
        <f>"President"</f>
        <v>President</v>
      </c>
      <c r="X31" s="1">
        <v>36161</v>
      </c>
      <c r="Y31" t="str">
        <f>"Right Price General Construction"</f>
        <v>Right Price General Construction</v>
      </c>
      <c r="Z31" t="str">
        <f>"1-9174683149"</f>
        <v>1-9174683149</v>
      </c>
      <c r="AA31" t="str">
        <f>"3950 De Reimer Ave"</f>
        <v>3950 De Reimer Ave</v>
      </c>
      <c r="AB31" t="str">
        <f>"3950 DeReimer ave"</f>
        <v>3950 DeReimer ave</v>
      </c>
      <c r="AC31" t="str">
        <f>"Bronx"</f>
        <v>Bronx</v>
      </c>
      <c r="AD31" t="str">
        <f>"New York"</f>
        <v>New York</v>
      </c>
      <c r="AE31" t="str">
        <f>"10466"</f>
        <v>10466</v>
      </c>
      <c r="AF31" t="s">
        <v>51</v>
      </c>
      <c r="AG31" t="str">
        <f>""</f>
        <v/>
      </c>
      <c r="AH31" t="str">
        <f>"General contracting"</f>
        <v>General contracting</v>
      </c>
      <c r="AI31" t="str">
        <f>"Is your firm a Certified MBE?|Trade contract you are interested in bidding (use semi-colon to seperate each listing)|Has your firm worked on DASNY projects as a prime or sub-contractor?"</f>
        <v>Is your firm a Certified MBE?|Trade contract you are interested in bidding (use semi-colon to seperate each listing)|Has your firm worked on DASNY projects as a prime or sub-contractor?</v>
      </c>
      <c r="AJ31" t="str">
        <f>"450000"</f>
        <v>450000</v>
      </c>
    </row>
    <row r="32" spans="1:36" x14ac:dyDescent="0.35">
      <c r="A32">
        <v>30</v>
      </c>
      <c r="B32" t="str">
        <f t="shared" si="0"/>
        <v>203620166296150098</v>
      </c>
      <c r="C32">
        <v>1720138377</v>
      </c>
      <c r="D32" t="s">
        <v>37</v>
      </c>
      <c r="E32" t="s">
        <v>38</v>
      </c>
      <c r="F32" t="s">
        <v>39</v>
      </c>
      <c r="G32" t="s">
        <v>40</v>
      </c>
      <c r="H32" t="s">
        <v>41</v>
      </c>
      <c r="I32" t="s">
        <v>42</v>
      </c>
      <c r="J32" t="s">
        <v>43</v>
      </c>
      <c r="K32" t="s">
        <v>189</v>
      </c>
      <c r="L32" t="s">
        <v>190</v>
      </c>
      <c r="M32" t="s">
        <v>191</v>
      </c>
      <c r="N32" t="s">
        <v>47</v>
      </c>
      <c r="O32" t="s">
        <v>48</v>
      </c>
      <c r="P32" t="s">
        <v>48</v>
      </c>
      <c r="Q32" t="s">
        <v>192</v>
      </c>
      <c r="R32" t="s">
        <v>37</v>
      </c>
      <c r="S32" t="s">
        <v>193</v>
      </c>
      <c r="T32">
        <v>274292</v>
      </c>
      <c r="U32">
        <v>0</v>
      </c>
      <c r="V32" t="s">
        <v>48</v>
      </c>
      <c r="W32" t="str">
        <f>"Project Manager"</f>
        <v>Project Manager</v>
      </c>
      <c r="X32" s="1">
        <v>36161</v>
      </c>
      <c r="Y32" t="str">
        <f>"Leading Construction Corp"</f>
        <v>Leading Construction Corp</v>
      </c>
      <c r="Z32" t="str">
        <f>"1-7187461022"</f>
        <v>1-7187461022</v>
      </c>
      <c r="AA32" t="str">
        <f>"127-07"</f>
        <v>127-07</v>
      </c>
      <c r="AB32" t="str">
        <f>"Liberty Avenue"</f>
        <v>Liberty Avenue</v>
      </c>
      <c r="AC32" t="str">
        <f>"Richmond Hill"</f>
        <v>Richmond Hill</v>
      </c>
      <c r="AD32" t="str">
        <f>"New York"</f>
        <v>New York</v>
      </c>
      <c r="AE32" t="str">
        <f>"11435"</f>
        <v>11435</v>
      </c>
      <c r="AF32" t="s">
        <v>51</v>
      </c>
      <c r="AG32" t="str">
        <f>"6000000"</f>
        <v>6000000</v>
      </c>
      <c r="AH32" t="str">
        <f>"General Construction"</f>
        <v>General Construction</v>
      </c>
      <c r="AI32" t="str">
        <f>"Is your firm a Certified MBE?"</f>
        <v>Is your firm a Certified MBE?</v>
      </c>
      <c r="AJ32" t="str">
        <f>"1200000"</f>
        <v>1200000</v>
      </c>
    </row>
    <row r="33" spans="1:36" x14ac:dyDescent="0.35">
      <c r="A33">
        <v>31</v>
      </c>
      <c r="B33" t="str">
        <f t="shared" si="0"/>
        <v>203620166296150098</v>
      </c>
      <c r="C33">
        <v>1720138377</v>
      </c>
      <c r="D33" t="s">
        <v>37</v>
      </c>
      <c r="E33" t="s">
        <v>38</v>
      </c>
      <c r="F33" t="s">
        <v>39</v>
      </c>
      <c r="G33" t="s">
        <v>40</v>
      </c>
      <c r="H33" t="s">
        <v>41</v>
      </c>
      <c r="I33" t="s">
        <v>42</v>
      </c>
      <c r="J33" t="s">
        <v>43</v>
      </c>
      <c r="K33" t="s">
        <v>194</v>
      </c>
      <c r="L33" t="s">
        <v>195</v>
      </c>
      <c r="M33" t="s">
        <v>196</v>
      </c>
      <c r="N33" t="s">
        <v>47</v>
      </c>
      <c r="O33" t="s">
        <v>48</v>
      </c>
      <c r="P33" t="s">
        <v>48</v>
      </c>
      <c r="Q33" t="s">
        <v>197</v>
      </c>
      <c r="R33" t="s">
        <v>37</v>
      </c>
      <c r="S33" t="s">
        <v>198</v>
      </c>
      <c r="T33">
        <v>892241</v>
      </c>
      <c r="U33">
        <v>0</v>
      </c>
      <c r="V33" t="s">
        <v>47</v>
      </c>
      <c r="W33" t="str">
        <f>"Assistant Project Manager"</f>
        <v>Assistant Project Manager</v>
      </c>
      <c r="X33" s="1">
        <v>36161</v>
      </c>
      <c r="Y33" t="str">
        <f>"Ashnu International Inc"</f>
        <v>Ashnu International Inc</v>
      </c>
      <c r="Z33" t="str">
        <f>"1-7182677590325"</f>
        <v>1-7182677590325</v>
      </c>
      <c r="AA33" t="str">
        <f>"58-09 28th Avenue"</f>
        <v>58-09 28th Avenue</v>
      </c>
      <c r="AB33" t="str">
        <f>"Woodside"</f>
        <v>Woodside</v>
      </c>
      <c r="AC33" t="str">
        <f>"Woodside"</f>
        <v>Woodside</v>
      </c>
      <c r="AD33" t="str">
        <f>"New York"</f>
        <v>New York</v>
      </c>
      <c r="AE33" t="str">
        <f>"11377"</f>
        <v>11377</v>
      </c>
      <c r="AF33" t="s">
        <v>51</v>
      </c>
      <c r="AG33" t="str">
        <f>""</f>
        <v/>
      </c>
      <c r="AH33" t="str">
        <f>"General Construction"</f>
        <v>General Construction</v>
      </c>
      <c r="AI33" t="str">
        <f>"Is your firm a NYS Certified WBE?|Is your firm a Certified MBE?"</f>
        <v>Is your firm a NYS Certified WBE?|Is your firm a Certified MBE?</v>
      </c>
      <c r="AJ33" t="str">
        <f>""</f>
        <v/>
      </c>
    </row>
    <row r="34" spans="1:36" x14ac:dyDescent="0.35">
      <c r="A34">
        <v>32</v>
      </c>
      <c r="B34" t="str">
        <f t="shared" si="0"/>
        <v>203620166296150098</v>
      </c>
      <c r="C34">
        <v>1720138377</v>
      </c>
      <c r="D34" t="s">
        <v>37</v>
      </c>
      <c r="E34" t="s">
        <v>38</v>
      </c>
      <c r="F34" t="s">
        <v>39</v>
      </c>
      <c r="G34" t="s">
        <v>40</v>
      </c>
      <c r="H34" t="s">
        <v>41</v>
      </c>
      <c r="I34" t="s">
        <v>42</v>
      </c>
      <c r="J34" t="s">
        <v>43</v>
      </c>
      <c r="K34" t="s">
        <v>199</v>
      </c>
      <c r="L34" t="s">
        <v>200</v>
      </c>
      <c r="M34" t="s">
        <v>201</v>
      </c>
      <c r="N34" t="s">
        <v>47</v>
      </c>
      <c r="O34" t="s">
        <v>48</v>
      </c>
      <c r="P34" t="s">
        <v>48</v>
      </c>
      <c r="Q34" t="s">
        <v>202</v>
      </c>
      <c r="R34" t="s">
        <v>37</v>
      </c>
      <c r="S34" t="s">
        <v>203</v>
      </c>
      <c r="T34">
        <v>570130</v>
      </c>
      <c r="U34">
        <v>0</v>
      </c>
      <c r="V34" t="s">
        <v>48</v>
      </c>
      <c r="W34" t="str">
        <f>"President"</f>
        <v>President</v>
      </c>
      <c r="X34" s="1">
        <v>36161</v>
      </c>
      <c r="Y34" t="str">
        <f>"Generation Electrical Supply &amp; Lighting"</f>
        <v>Generation Electrical Supply &amp; Lighting</v>
      </c>
      <c r="Z34" t="str">
        <f>"1-3157252976"</f>
        <v>1-3157252976</v>
      </c>
      <c r="AA34" t="str">
        <f>"110 Luther Ave."</f>
        <v>110 Luther Ave.</v>
      </c>
      <c r="AB34" t="str">
        <f>"110 Luther Ave."</f>
        <v>110 Luther Ave.</v>
      </c>
      <c r="AC34" t="str">
        <f>"Liverpool"</f>
        <v>Liverpool</v>
      </c>
      <c r="AD34" t="str">
        <f>"NY"</f>
        <v>NY</v>
      </c>
      <c r="AE34" t="str">
        <f>"13088"</f>
        <v>13088</v>
      </c>
      <c r="AF34" t="s">
        <v>51</v>
      </c>
      <c r="AG34" t="str">
        <f>""</f>
        <v/>
      </c>
      <c r="AH34" t="str">
        <f>"Electrical Distributor"</f>
        <v>Electrical Distributor</v>
      </c>
      <c r="AI34" t="str">
        <f>"Is your firm a NYS Certified WBE?|Is your firm a Certified MBE?"</f>
        <v>Is your firm a NYS Certified WBE?|Is your firm a Certified MBE?</v>
      </c>
      <c r="AJ34" t="str">
        <f>""</f>
        <v/>
      </c>
    </row>
    <row r="35" spans="1:36" x14ac:dyDescent="0.35">
      <c r="A35">
        <v>33</v>
      </c>
      <c r="B35" t="str">
        <f t="shared" ref="B35:B66" si="2">"203620166296150098"</f>
        <v>203620166296150098</v>
      </c>
      <c r="C35">
        <v>1720138377</v>
      </c>
      <c r="D35" t="s">
        <v>37</v>
      </c>
      <c r="E35" t="s">
        <v>38</v>
      </c>
      <c r="F35" t="s">
        <v>39</v>
      </c>
      <c r="G35" t="s">
        <v>40</v>
      </c>
      <c r="H35" t="s">
        <v>41</v>
      </c>
      <c r="I35" t="s">
        <v>42</v>
      </c>
      <c r="J35" t="s">
        <v>43</v>
      </c>
      <c r="K35" t="s">
        <v>204</v>
      </c>
      <c r="L35" t="s">
        <v>205</v>
      </c>
      <c r="M35" t="s">
        <v>206</v>
      </c>
      <c r="N35" t="s">
        <v>47</v>
      </c>
      <c r="O35" t="s">
        <v>48</v>
      </c>
      <c r="P35" t="s">
        <v>48</v>
      </c>
      <c r="Q35" t="s">
        <v>79</v>
      </c>
      <c r="R35" t="s">
        <v>37</v>
      </c>
      <c r="S35" t="s">
        <v>207</v>
      </c>
      <c r="T35">
        <v>737868</v>
      </c>
      <c r="U35">
        <v>0</v>
      </c>
      <c r="V35" t="s">
        <v>48</v>
      </c>
      <c r="W35" t="str">
        <f>"Account Manager"</f>
        <v>Account Manager</v>
      </c>
      <c r="X35" t="s">
        <v>208</v>
      </c>
      <c r="Y35" t="str">
        <f>"Gordian"</f>
        <v>Gordian</v>
      </c>
      <c r="Z35" t="str">
        <f>"1-2038854297"</f>
        <v>1-2038854297</v>
      </c>
      <c r="AA35" t="str">
        <f>"139 Havemeyer Pl"</f>
        <v>139 Havemeyer Pl</v>
      </c>
      <c r="AB35" t="str">
        <f>"1"</f>
        <v>1</v>
      </c>
      <c r="AC35" t="str">
        <f>"Greenwich"</f>
        <v>Greenwich</v>
      </c>
      <c r="AD35" t="str">
        <f>"CT"</f>
        <v>CT</v>
      </c>
      <c r="AE35" t="str">
        <f>"06830-6337"</f>
        <v>06830-6337</v>
      </c>
      <c r="AF35" t="s">
        <v>51</v>
      </c>
      <c r="AG35" t="str">
        <f>""</f>
        <v/>
      </c>
      <c r="AH35" t="str">
        <f>"Construction"</f>
        <v>Construction</v>
      </c>
      <c r="AI35" t="str">
        <f>"Is your firm currently a DASNY JOC Contractor?"</f>
        <v>Is your firm currently a DASNY JOC Contractor?</v>
      </c>
      <c r="AJ35" t="str">
        <f>""</f>
        <v/>
      </c>
    </row>
    <row r="36" spans="1:36" x14ac:dyDescent="0.35">
      <c r="A36">
        <v>34</v>
      </c>
      <c r="B36" t="str">
        <f t="shared" si="2"/>
        <v>203620166296150098</v>
      </c>
      <c r="C36">
        <v>1720138377</v>
      </c>
      <c r="D36" t="s">
        <v>37</v>
      </c>
      <c r="E36" t="s">
        <v>38</v>
      </c>
      <c r="F36" t="s">
        <v>39</v>
      </c>
      <c r="G36" t="s">
        <v>40</v>
      </c>
      <c r="H36" t="s">
        <v>41</v>
      </c>
      <c r="I36" t="s">
        <v>42</v>
      </c>
      <c r="J36" t="s">
        <v>43</v>
      </c>
      <c r="K36" t="s">
        <v>95</v>
      </c>
      <c r="L36" t="s">
        <v>96</v>
      </c>
      <c r="M36" t="s">
        <v>97</v>
      </c>
      <c r="N36" t="s">
        <v>47</v>
      </c>
      <c r="O36" t="s">
        <v>48</v>
      </c>
      <c r="P36" t="s">
        <v>48</v>
      </c>
      <c r="Q36" t="s">
        <v>209</v>
      </c>
      <c r="R36" t="s">
        <v>99</v>
      </c>
      <c r="S36" t="s">
        <v>100</v>
      </c>
      <c r="T36">
        <v>233110</v>
      </c>
      <c r="U36">
        <v>0</v>
      </c>
      <c r="V36" t="s">
        <v>47</v>
      </c>
      <c r="W36" t="str">
        <f>"Construction Service Specialist"</f>
        <v>Construction Service Specialist</v>
      </c>
      <c r="X36" s="1">
        <v>36161</v>
      </c>
      <c r="Y36" t="str">
        <f>"DASNY"</f>
        <v>DASNY</v>
      </c>
      <c r="Z36" t="str">
        <f>"1-212-273-5038"</f>
        <v>1-212-273-5038</v>
      </c>
      <c r="AA36" t="str">
        <f>"28 Liberty St"</f>
        <v>28 Liberty St</v>
      </c>
      <c r="AB36" t="str">
        <f>"55th fl"</f>
        <v>55th fl</v>
      </c>
      <c r="AC36" t="str">
        <f>"New Yoek"</f>
        <v>New Yoek</v>
      </c>
      <c r="AD36" t="str">
        <f>"NY"</f>
        <v>NY</v>
      </c>
      <c r="AE36" t="str">
        <f>"10005"</f>
        <v>10005</v>
      </c>
      <c r="AF36" t="s">
        <v>51</v>
      </c>
      <c r="AG36" t="str">
        <f>""</f>
        <v/>
      </c>
      <c r="AH36" t="str">
        <f>"Construction/Finance"</f>
        <v>Construction/Finance</v>
      </c>
      <c r="AI36" t="str">
        <f>"Is your firm currently a DASNY JOC Contractor?"</f>
        <v>Is your firm currently a DASNY JOC Contractor?</v>
      </c>
      <c r="AJ36" t="str">
        <f>""</f>
        <v/>
      </c>
    </row>
    <row r="37" spans="1:36" x14ac:dyDescent="0.35">
      <c r="A37">
        <v>35</v>
      </c>
      <c r="B37" t="str">
        <f t="shared" si="2"/>
        <v>203620166296150098</v>
      </c>
      <c r="C37">
        <v>1720138377</v>
      </c>
      <c r="D37" t="s">
        <v>37</v>
      </c>
      <c r="E37" t="s">
        <v>38</v>
      </c>
      <c r="F37" t="s">
        <v>39</v>
      </c>
      <c r="G37" t="s">
        <v>40</v>
      </c>
      <c r="H37" t="s">
        <v>41</v>
      </c>
      <c r="I37" t="s">
        <v>42</v>
      </c>
      <c r="J37" t="s">
        <v>43</v>
      </c>
      <c r="K37" t="s">
        <v>210</v>
      </c>
      <c r="L37" t="s">
        <v>211</v>
      </c>
      <c r="M37" t="s">
        <v>212</v>
      </c>
      <c r="N37" t="s">
        <v>47</v>
      </c>
      <c r="O37" t="s">
        <v>48</v>
      </c>
      <c r="P37" t="s">
        <v>48</v>
      </c>
      <c r="Q37" t="s">
        <v>213</v>
      </c>
      <c r="R37" t="s">
        <v>37</v>
      </c>
      <c r="S37" t="s">
        <v>214</v>
      </c>
      <c r="T37">
        <v>889420</v>
      </c>
      <c r="U37">
        <v>0</v>
      </c>
      <c r="V37" t="s">
        <v>48</v>
      </c>
      <c r="W37" t="str">
        <f>"CEP"</f>
        <v>CEP</v>
      </c>
      <c r="X37" s="1">
        <v>36161</v>
      </c>
      <c r="Y37" t="str">
        <f>"Where To Get It Services, LLC"</f>
        <v>Where To Get It Services, LLC</v>
      </c>
      <c r="Z37" t="str">
        <f>"1-3474894482"</f>
        <v>1-3474894482</v>
      </c>
      <c r="AA37" t="str">
        <f>"1395 Pacific St., Suite B"</f>
        <v>1395 Pacific St., Suite B</v>
      </c>
      <c r="AB37" t="str">
        <f>"Brooklyn"</f>
        <v>Brooklyn</v>
      </c>
      <c r="AC37" t="str">
        <f>"New York"</f>
        <v>New York</v>
      </c>
      <c r="AD37" t="str">
        <f>"United States"</f>
        <v>United States</v>
      </c>
      <c r="AE37" t="str">
        <f>"11216"</f>
        <v>11216</v>
      </c>
      <c r="AF37" t="s">
        <v>51</v>
      </c>
      <c r="AG37" t="str">
        <f>"750,000.00"</f>
        <v>750,000.00</v>
      </c>
      <c r="AH37" t="str">
        <f>"Interior Finishes"</f>
        <v>Interior Finishes</v>
      </c>
      <c r="AI37" t="str">
        <f>"Is your firm a NYS Certified WBE?|Is your firm a Certified MBE?|Trade contract you are interested in bidding (use semi-colon to seperate each listing)|Has your firm worked on DASNY projects as a prime or sub-contractor?"</f>
        <v>Is your firm a NYS Certified WBE?|Is your firm a Certified MBE?|Trade contract you are interested in bidding (use semi-colon to seperate each listing)|Has your firm worked on DASNY projects as a prime or sub-contractor?</v>
      </c>
      <c r="AJ37" t="str">
        <f>"750,000.00"</f>
        <v>750,000.00</v>
      </c>
    </row>
    <row r="38" spans="1:36" x14ac:dyDescent="0.35">
      <c r="A38">
        <v>36</v>
      </c>
      <c r="B38" t="str">
        <f t="shared" si="2"/>
        <v>203620166296150098</v>
      </c>
      <c r="C38">
        <v>1720138377</v>
      </c>
      <c r="D38" t="s">
        <v>37</v>
      </c>
      <c r="E38" t="s">
        <v>38</v>
      </c>
      <c r="F38" t="s">
        <v>39</v>
      </c>
      <c r="G38" t="s">
        <v>40</v>
      </c>
      <c r="H38" t="s">
        <v>41</v>
      </c>
      <c r="I38" t="s">
        <v>42</v>
      </c>
      <c r="J38" t="s">
        <v>43</v>
      </c>
      <c r="K38" t="s">
        <v>215</v>
      </c>
      <c r="L38" t="s">
        <v>216</v>
      </c>
      <c r="M38" t="s">
        <v>217</v>
      </c>
      <c r="N38" t="s">
        <v>47</v>
      </c>
      <c r="O38" t="s">
        <v>48</v>
      </c>
      <c r="P38" t="s">
        <v>48</v>
      </c>
      <c r="Q38" t="s">
        <v>40</v>
      </c>
      <c r="R38" t="s">
        <v>37</v>
      </c>
      <c r="S38" t="s">
        <v>218</v>
      </c>
      <c r="T38">
        <v>512105</v>
      </c>
      <c r="U38">
        <v>0</v>
      </c>
      <c r="V38" t="s">
        <v>48</v>
      </c>
      <c r="W38" t="str">
        <f>"Estimator / PM"</f>
        <v>Estimator / PM</v>
      </c>
      <c r="X38" s="1">
        <v>36161</v>
      </c>
      <c r="Y38" t="str">
        <f>"ATJ Electrical Inc."</f>
        <v>ATJ Electrical Inc.</v>
      </c>
      <c r="Z38" t="str">
        <f>"1-7183210117"</f>
        <v>1-7183210117</v>
      </c>
      <c r="AA38" t="str">
        <f>"122-11 15th Avenue"</f>
        <v>122-11 15th Avenue</v>
      </c>
      <c r="AB38" t="str">
        <f>"122-11 15th Avenue"</f>
        <v>122-11 15th Avenue</v>
      </c>
      <c r="AC38" t="str">
        <f>"College Point"</f>
        <v>College Point</v>
      </c>
      <c r="AD38" t="str">
        <f>"New York"</f>
        <v>New York</v>
      </c>
      <c r="AE38" t="str">
        <f>"11356"</f>
        <v>11356</v>
      </c>
      <c r="AF38" t="s">
        <v>51</v>
      </c>
      <c r="AG38" t="str">
        <f>""</f>
        <v/>
      </c>
      <c r="AH38" t="str">
        <f>"Electric"</f>
        <v>Electric</v>
      </c>
      <c r="AI38" t="str">
        <f>"Trade contract you are interested in bidding (use semi-colon to seperate each listing)|Has your firm worked on DASNY projects as a prime or sub-contractor?"</f>
        <v>Trade contract you are interested in bidding (use semi-colon to seperate each listing)|Has your firm worked on DASNY projects as a prime or sub-contractor?</v>
      </c>
      <c r="AJ38" t="str">
        <f>""</f>
        <v/>
      </c>
    </row>
    <row r="39" spans="1:36" x14ac:dyDescent="0.35">
      <c r="A39">
        <v>37</v>
      </c>
      <c r="B39" t="str">
        <f t="shared" si="2"/>
        <v>203620166296150098</v>
      </c>
      <c r="C39">
        <v>1720138377</v>
      </c>
      <c r="D39" t="s">
        <v>37</v>
      </c>
      <c r="E39" t="s">
        <v>38</v>
      </c>
      <c r="F39" t="s">
        <v>39</v>
      </c>
      <c r="G39" t="s">
        <v>40</v>
      </c>
      <c r="H39" t="s">
        <v>41</v>
      </c>
      <c r="I39" t="s">
        <v>42</v>
      </c>
      <c r="J39" t="s">
        <v>106</v>
      </c>
      <c r="K39" t="s">
        <v>107</v>
      </c>
      <c r="L39" t="s">
        <v>108</v>
      </c>
      <c r="M39" t="s">
        <v>109</v>
      </c>
      <c r="N39" t="s">
        <v>48</v>
      </c>
      <c r="O39" t="s">
        <v>48</v>
      </c>
      <c r="P39" t="s">
        <v>48</v>
      </c>
      <c r="Q39" t="s">
        <v>219</v>
      </c>
      <c r="R39" t="s">
        <v>37</v>
      </c>
      <c r="S39" t="s">
        <v>111</v>
      </c>
      <c r="T39">
        <v>123030</v>
      </c>
      <c r="U39">
        <v>0</v>
      </c>
      <c r="V39" t="s">
        <v>47</v>
      </c>
      <c r="W39" t="str">
        <f>"Sr Director OPG"</f>
        <v>Sr Director OPG</v>
      </c>
      <c r="X39" s="1">
        <v>36161</v>
      </c>
      <c r="Y39" t="str">
        <f>"DASNY"</f>
        <v>DASNY</v>
      </c>
      <c r="Z39" t="str">
        <f>"1-5182573000"</f>
        <v>1-5182573000</v>
      </c>
      <c r="AA39" t="str">
        <f>"515 Broadway"</f>
        <v>515 Broadway</v>
      </c>
      <c r="AB39" t="str">
        <f>"3rd floor"</f>
        <v>3rd floor</v>
      </c>
      <c r="AC39" t="str">
        <f>"Albany"</f>
        <v>Albany</v>
      </c>
      <c r="AD39" t="str">
        <f t="shared" ref="AD39:AD46" si="3">"NY"</f>
        <v>NY</v>
      </c>
      <c r="AE39" t="str">
        <f>"12207"</f>
        <v>12207</v>
      </c>
      <c r="AF39" t="s">
        <v>51</v>
      </c>
      <c r="AG39" t="str">
        <f>"5M"</f>
        <v>5M</v>
      </c>
      <c r="AH39" t="str">
        <f>"OPG"</f>
        <v>OPG</v>
      </c>
      <c r="AI39" t="str">
        <f>"Is your firm a NYS Certified WBE?"</f>
        <v>Is your firm a NYS Certified WBE?</v>
      </c>
      <c r="AJ39" t="str">
        <f>"40M"</f>
        <v>40M</v>
      </c>
    </row>
    <row r="40" spans="1:36" x14ac:dyDescent="0.35">
      <c r="A40">
        <v>38</v>
      </c>
      <c r="B40" t="str">
        <f t="shared" si="2"/>
        <v>203620166296150098</v>
      </c>
      <c r="C40">
        <v>1720138377</v>
      </c>
      <c r="D40" t="s">
        <v>37</v>
      </c>
      <c r="E40" t="s">
        <v>38</v>
      </c>
      <c r="F40" t="s">
        <v>39</v>
      </c>
      <c r="G40" t="s">
        <v>40</v>
      </c>
      <c r="H40" t="s">
        <v>41</v>
      </c>
      <c r="I40" t="s">
        <v>42</v>
      </c>
      <c r="J40" t="s">
        <v>43</v>
      </c>
      <c r="K40" t="s">
        <v>220</v>
      </c>
      <c r="L40" t="s">
        <v>221</v>
      </c>
      <c r="M40" t="s">
        <v>222</v>
      </c>
      <c r="N40" t="s">
        <v>47</v>
      </c>
      <c r="O40" t="s">
        <v>48</v>
      </c>
      <c r="P40" t="s">
        <v>48</v>
      </c>
      <c r="Q40" t="s">
        <v>115</v>
      </c>
      <c r="R40" t="s">
        <v>37</v>
      </c>
      <c r="S40" t="s">
        <v>223</v>
      </c>
      <c r="T40">
        <v>196044</v>
      </c>
      <c r="U40">
        <v>0</v>
      </c>
      <c r="V40" t="s">
        <v>48</v>
      </c>
      <c r="W40" t="str">
        <f>"Sales Administrator"</f>
        <v>Sales Administrator</v>
      </c>
      <c r="X40" s="1">
        <v>36161</v>
      </c>
      <c r="Y40" t="str">
        <f>"EIA Electric Inc."</f>
        <v>EIA Electric Inc.</v>
      </c>
      <c r="Z40" t="str">
        <f>"1-6469633179"</f>
        <v>1-6469633179</v>
      </c>
      <c r="AA40" t="str">
        <f>"31-00 47th avenue Suite 5100, Suite 5100"</f>
        <v>31-00 47th avenue Suite 5100, Suite 5100</v>
      </c>
      <c r="AB40" t="str">
        <f>"Suite 5100"</f>
        <v>Suite 5100</v>
      </c>
      <c r="AC40" t="str">
        <f>"Long Island City"</f>
        <v>Long Island City</v>
      </c>
      <c r="AD40" t="str">
        <f t="shared" si="3"/>
        <v>NY</v>
      </c>
      <c r="AE40" t="str">
        <f>"11101"</f>
        <v>11101</v>
      </c>
      <c r="AF40" t="s">
        <v>51</v>
      </c>
      <c r="AG40" t="str">
        <f>"20,000,000,.00"</f>
        <v>20,000,000,.00</v>
      </c>
      <c r="AH40" t="str">
        <f>"Electric"</f>
        <v>Electric</v>
      </c>
      <c r="AI40" t="s">
        <v>52</v>
      </c>
      <c r="AJ40" t="str">
        <f>"45,000,000,.00"</f>
        <v>45,000,000,.00</v>
      </c>
    </row>
    <row r="41" spans="1:36" x14ac:dyDescent="0.35">
      <c r="A41">
        <v>39</v>
      </c>
      <c r="B41" t="str">
        <f t="shared" si="2"/>
        <v>203620166296150098</v>
      </c>
      <c r="C41">
        <v>1720138377</v>
      </c>
      <c r="D41" t="s">
        <v>37</v>
      </c>
      <c r="E41" t="s">
        <v>38</v>
      </c>
      <c r="F41" t="s">
        <v>39</v>
      </c>
      <c r="G41" t="s">
        <v>40</v>
      </c>
      <c r="H41" t="s">
        <v>41</v>
      </c>
      <c r="I41" t="s">
        <v>42</v>
      </c>
      <c r="J41" t="s">
        <v>43</v>
      </c>
      <c r="K41" t="s">
        <v>224</v>
      </c>
      <c r="L41" t="s">
        <v>225</v>
      </c>
      <c r="M41" t="s">
        <v>226</v>
      </c>
      <c r="N41" t="s">
        <v>47</v>
      </c>
      <c r="O41" t="s">
        <v>48</v>
      </c>
      <c r="P41" t="s">
        <v>48</v>
      </c>
      <c r="Q41" t="s">
        <v>227</v>
      </c>
      <c r="R41" t="s">
        <v>37</v>
      </c>
      <c r="S41" t="s">
        <v>228</v>
      </c>
      <c r="T41">
        <v>173427</v>
      </c>
      <c r="U41">
        <v>0</v>
      </c>
      <c r="V41" t="s">
        <v>48</v>
      </c>
      <c r="W41" t="str">
        <f>"CEO/Founder"</f>
        <v>CEO/Founder</v>
      </c>
      <c r="X41" s="1">
        <v>36161</v>
      </c>
      <c r="Y41" t="str">
        <f>"RHVL Corp."</f>
        <v>RHVL Corp.</v>
      </c>
      <c r="Z41" t="str">
        <f>"1-3476441497"</f>
        <v>1-3476441497</v>
      </c>
      <c r="AA41" t="str">
        <f>"135 17 78th Avenue"</f>
        <v>135 17 78th Avenue</v>
      </c>
      <c r="AB41" t="str">
        <f>"12A"</f>
        <v>12A</v>
      </c>
      <c r="AC41" t="str">
        <f>"Flushing"</f>
        <v>Flushing</v>
      </c>
      <c r="AD41" t="str">
        <f t="shared" si="3"/>
        <v>NY</v>
      </c>
      <c r="AE41" t="str">
        <f>"11367"</f>
        <v>11367</v>
      </c>
      <c r="AF41" t="s">
        <v>51</v>
      </c>
      <c r="AG41" t="str">
        <f>"N/A"</f>
        <v>N/A</v>
      </c>
      <c r="AH41" t="str">
        <f>"Interior Construction"</f>
        <v>Interior Construction</v>
      </c>
      <c r="AI41" t="str">
        <f>"Is your firm a NYS Certified WBE?|Is your firm a Certified MBE?"</f>
        <v>Is your firm a NYS Certified WBE?|Is your firm a Certified MBE?</v>
      </c>
      <c r="AJ41" t="str">
        <f>"N/A"</f>
        <v>N/A</v>
      </c>
    </row>
    <row r="42" spans="1:36" x14ac:dyDescent="0.35">
      <c r="A42">
        <v>40</v>
      </c>
      <c r="B42" t="str">
        <f t="shared" si="2"/>
        <v>203620166296150098</v>
      </c>
      <c r="C42">
        <v>1720138377</v>
      </c>
      <c r="D42" t="s">
        <v>37</v>
      </c>
      <c r="E42" t="s">
        <v>38</v>
      </c>
      <c r="F42" t="s">
        <v>39</v>
      </c>
      <c r="G42" t="s">
        <v>40</v>
      </c>
      <c r="H42" t="s">
        <v>41</v>
      </c>
      <c r="I42" t="s">
        <v>42</v>
      </c>
      <c r="J42" t="s">
        <v>43</v>
      </c>
      <c r="K42" t="s">
        <v>229</v>
      </c>
      <c r="L42" t="s">
        <v>230</v>
      </c>
      <c r="M42" t="s">
        <v>231</v>
      </c>
      <c r="N42" t="s">
        <v>47</v>
      </c>
      <c r="O42" t="s">
        <v>48</v>
      </c>
      <c r="P42" t="s">
        <v>48</v>
      </c>
      <c r="Q42" t="s">
        <v>232</v>
      </c>
      <c r="R42" t="s">
        <v>37</v>
      </c>
      <c r="S42" t="s">
        <v>233</v>
      </c>
      <c r="T42">
        <v>750331</v>
      </c>
      <c r="U42">
        <v>0</v>
      </c>
      <c r="V42" t="s">
        <v>48</v>
      </c>
      <c r="W42" t="str">
        <f>"President"</f>
        <v>President</v>
      </c>
      <c r="X42" s="1">
        <v>36161</v>
      </c>
      <c r="Y42" t="str">
        <f>"N.B.A Construction Inc"</f>
        <v>N.B.A Construction Inc</v>
      </c>
      <c r="Z42" t="str">
        <f>"1-17186332905"</f>
        <v>1-17186332905</v>
      </c>
      <c r="AA42" t="str">
        <f>"283 EAST 3RD STREET"</f>
        <v>283 EAST 3RD STREET</v>
      </c>
      <c r="AB42" t="str">
        <f>"brooklyn"</f>
        <v>brooklyn</v>
      </c>
      <c r="AC42" t="str">
        <f>"BROOKLYN"</f>
        <v>BROOKLYN</v>
      </c>
      <c r="AD42" t="str">
        <f t="shared" si="3"/>
        <v>NY</v>
      </c>
      <c r="AE42" t="str">
        <f>"11218"</f>
        <v>11218</v>
      </c>
      <c r="AF42" t="s">
        <v>51</v>
      </c>
      <c r="AG42" t="str">
        <f>"6,000,000.00"</f>
        <v>6,000,000.00</v>
      </c>
      <c r="AH42" t="str">
        <f>"General Construction"</f>
        <v>General Construction</v>
      </c>
      <c r="AI42" t="str">
        <f>"Is your firm a Certified MBE?|Trade contract you are interested in bidding (use semi-colon to seperate each listing)|Has your firm worked on DASNY projects as a prime or sub-contractor?|Has your firm bid on DASNY JOC contract soliciations?"</f>
        <v>Is your firm a Certified MBE?|Trade contract you are interested in bidding (use semi-colon to seperate each listing)|Has your firm worked on DASNY projects as a prime or sub-contractor?|Has your firm bid on DASNY JOC contract soliciations?</v>
      </c>
      <c r="AJ42" t="str">
        <f>"6,000,000.00"</f>
        <v>6,000,000.00</v>
      </c>
    </row>
    <row r="43" spans="1:36" x14ac:dyDescent="0.35">
      <c r="A43">
        <v>41</v>
      </c>
      <c r="B43" t="str">
        <f t="shared" si="2"/>
        <v>203620166296150098</v>
      </c>
      <c r="C43">
        <v>1720138377</v>
      </c>
      <c r="D43" t="s">
        <v>37</v>
      </c>
      <c r="E43" t="s">
        <v>38</v>
      </c>
      <c r="F43" t="s">
        <v>39</v>
      </c>
      <c r="G43" t="s">
        <v>40</v>
      </c>
      <c r="H43" t="s">
        <v>41</v>
      </c>
      <c r="I43" t="s">
        <v>42</v>
      </c>
      <c r="J43" t="s">
        <v>43</v>
      </c>
      <c r="K43" t="s">
        <v>234</v>
      </c>
      <c r="L43" t="s">
        <v>235</v>
      </c>
      <c r="M43" t="s">
        <v>236</v>
      </c>
      <c r="N43" t="s">
        <v>47</v>
      </c>
      <c r="O43" t="s">
        <v>48</v>
      </c>
      <c r="P43" t="s">
        <v>48</v>
      </c>
      <c r="Q43" t="s">
        <v>40</v>
      </c>
      <c r="R43" t="s">
        <v>37</v>
      </c>
      <c r="S43" t="s">
        <v>237</v>
      </c>
      <c r="T43">
        <v>187326</v>
      </c>
      <c r="U43">
        <v>0</v>
      </c>
      <c r="V43" t="s">
        <v>48</v>
      </c>
      <c r="W43" t="str">
        <f>"Site Engineerf"</f>
        <v>Site Engineerf</v>
      </c>
      <c r="X43" s="1">
        <v>36161</v>
      </c>
      <c r="Y43" t="str">
        <f>"Bedford"</f>
        <v>Bedford</v>
      </c>
      <c r="Z43" t="str">
        <f>"1-718-702-0027"</f>
        <v>1-718-702-0027</v>
      </c>
      <c r="AA43" t="str">
        <f>"68 Jay Street"</f>
        <v>68 Jay Street</v>
      </c>
      <c r="AB43" t="str">
        <f>"201"</f>
        <v>201</v>
      </c>
      <c r="AC43" t="str">
        <f>"Brooklyn"</f>
        <v>Brooklyn</v>
      </c>
      <c r="AD43" t="str">
        <f t="shared" si="3"/>
        <v>NY</v>
      </c>
      <c r="AE43" t="str">
        <f>"11201"</f>
        <v>11201</v>
      </c>
      <c r="AF43" t="s">
        <v>51</v>
      </c>
      <c r="AG43" t="str">
        <f>"2,000,000.00"</f>
        <v>2,000,000.00</v>
      </c>
      <c r="AH43" t="str">
        <f>"Sitework"</f>
        <v>Sitework</v>
      </c>
      <c r="AI43" t="str">
        <f>"Is your firm a Certified MBE?|Is your firm a NYS Certified SVDOB?|Trade contract you are interested in bidding (use semi-colon to seperate each listing)|Has your firm worked on DASNY projects as a prime or sub-contractor?"</f>
        <v>Is your firm a Certified MBE?|Is your firm a NYS Certified SVDOB?|Trade contract you are interested in bidding (use semi-colon to seperate each listing)|Has your firm worked on DASNY projects as a prime or sub-contractor?</v>
      </c>
      <c r="AJ43" t="str">
        <f>"5,500,000.00"</f>
        <v>5,500,000.00</v>
      </c>
    </row>
    <row r="44" spans="1:36" x14ac:dyDescent="0.35">
      <c r="A44">
        <v>42</v>
      </c>
      <c r="B44" t="str">
        <f t="shared" si="2"/>
        <v>203620166296150098</v>
      </c>
      <c r="C44">
        <v>1720138377</v>
      </c>
      <c r="D44" t="s">
        <v>37</v>
      </c>
      <c r="E44" t="s">
        <v>38</v>
      </c>
      <c r="F44" t="s">
        <v>39</v>
      </c>
      <c r="G44" t="s">
        <v>40</v>
      </c>
      <c r="H44" t="s">
        <v>41</v>
      </c>
      <c r="I44" t="s">
        <v>42</v>
      </c>
      <c r="J44" t="s">
        <v>106</v>
      </c>
      <c r="K44" t="s">
        <v>107</v>
      </c>
      <c r="L44" t="s">
        <v>108</v>
      </c>
      <c r="M44" t="s">
        <v>109</v>
      </c>
      <c r="N44" t="s">
        <v>48</v>
      </c>
      <c r="O44" t="s">
        <v>48</v>
      </c>
      <c r="P44" t="s">
        <v>48</v>
      </c>
      <c r="Q44" t="s">
        <v>238</v>
      </c>
      <c r="R44" t="s">
        <v>37</v>
      </c>
      <c r="S44" t="s">
        <v>111</v>
      </c>
      <c r="T44">
        <v>123030</v>
      </c>
      <c r="U44">
        <v>0</v>
      </c>
      <c r="V44" t="s">
        <v>47</v>
      </c>
      <c r="W44" t="str">
        <f>"Sr Director OPG"</f>
        <v>Sr Director OPG</v>
      </c>
      <c r="X44" s="1">
        <v>36161</v>
      </c>
      <c r="Y44" t="str">
        <f>"DASNY"</f>
        <v>DASNY</v>
      </c>
      <c r="Z44" t="str">
        <f>"1-5182573000"</f>
        <v>1-5182573000</v>
      </c>
      <c r="AA44" t="str">
        <f>"515 Broadway"</f>
        <v>515 Broadway</v>
      </c>
      <c r="AB44" t="str">
        <f>"3rd floor"</f>
        <v>3rd floor</v>
      </c>
      <c r="AC44" t="str">
        <f>"Albany"</f>
        <v>Albany</v>
      </c>
      <c r="AD44" t="str">
        <f t="shared" si="3"/>
        <v>NY</v>
      </c>
      <c r="AE44" t="str">
        <f>"12207"</f>
        <v>12207</v>
      </c>
      <c r="AF44" t="s">
        <v>51</v>
      </c>
      <c r="AG44" t="str">
        <f>"5M"</f>
        <v>5M</v>
      </c>
      <c r="AH44" t="str">
        <f>"OPG"</f>
        <v>OPG</v>
      </c>
      <c r="AI44" t="str">
        <f>"Is your firm a NYS Certified WBE?"</f>
        <v>Is your firm a NYS Certified WBE?</v>
      </c>
      <c r="AJ44" t="str">
        <f>"40M"</f>
        <v>40M</v>
      </c>
    </row>
    <row r="45" spans="1:36" x14ac:dyDescent="0.35">
      <c r="A45">
        <v>43</v>
      </c>
      <c r="B45" t="str">
        <f t="shared" si="2"/>
        <v>203620166296150098</v>
      </c>
      <c r="C45">
        <v>1720138377</v>
      </c>
      <c r="D45" t="s">
        <v>37</v>
      </c>
      <c r="E45" t="s">
        <v>38</v>
      </c>
      <c r="F45" t="s">
        <v>39</v>
      </c>
      <c r="G45" t="s">
        <v>40</v>
      </c>
      <c r="H45" t="s">
        <v>41</v>
      </c>
      <c r="I45" t="s">
        <v>42</v>
      </c>
      <c r="J45" t="s">
        <v>43</v>
      </c>
      <c r="K45" t="s">
        <v>239</v>
      </c>
      <c r="L45" t="s">
        <v>240</v>
      </c>
      <c r="M45" t="s">
        <v>241</v>
      </c>
      <c r="N45" t="s">
        <v>47</v>
      </c>
      <c r="O45" t="s">
        <v>48</v>
      </c>
      <c r="P45" t="s">
        <v>48</v>
      </c>
      <c r="Q45" t="s">
        <v>242</v>
      </c>
      <c r="R45" t="s">
        <v>37</v>
      </c>
      <c r="S45" t="s">
        <v>243</v>
      </c>
      <c r="T45">
        <v>643773</v>
      </c>
      <c r="U45">
        <v>0</v>
      </c>
      <c r="V45" t="s">
        <v>48</v>
      </c>
      <c r="W45" t="str">
        <f>"President"</f>
        <v>President</v>
      </c>
      <c r="X45" s="1">
        <v>36161</v>
      </c>
      <c r="Y45" t="str">
        <f>"Spring Electric, Inc."</f>
        <v>Spring Electric, Inc.</v>
      </c>
      <c r="Z45" t="str">
        <f>"1-518-369-3426"</f>
        <v>1-518-369-3426</v>
      </c>
      <c r="AA45" t="str">
        <f>"93 Blue Factory Road"</f>
        <v>93 Blue Factory Road</v>
      </c>
      <c r="AB45" t="str">
        <f>"Office"</f>
        <v>Office</v>
      </c>
      <c r="AC45" t="str">
        <f>"Averill Park"</f>
        <v>Averill Park</v>
      </c>
      <c r="AD45" t="str">
        <f t="shared" si="3"/>
        <v>NY</v>
      </c>
      <c r="AE45" t="str">
        <f>"12018"</f>
        <v>12018</v>
      </c>
      <c r="AF45" t="s">
        <v>51</v>
      </c>
      <c r="AG45" t="str">
        <f>"600000"</f>
        <v>600000</v>
      </c>
      <c r="AH45" t="str">
        <f>"Electric"</f>
        <v>Electric</v>
      </c>
      <c r="AI45" t="str">
        <f>"Trade contract you are interested in bidding (use semi-colon to seperate each listing)"</f>
        <v>Trade contract you are interested in bidding (use semi-colon to seperate each listing)</v>
      </c>
      <c r="AJ45" t="str">
        <f>"1250000"</f>
        <v>1250000</v>
      </c>
    </row>
    <row r="46" spans="1:36" x14ac:dyDescent="0.35">
      <c r="A46">
        <v>44</v>
      </c>
      <c r="B46" t="str">
        <f t="shared" si="2"/>
        <v>203620166296150098</v>
      </c>
      <c r="C46">
        <v>1720138377</v>
      </c>
      <c r="D46" t="s">
        <v>37</v>
      </c>
      <c r="E46" t="s">
        <v>38</v>
      </c>
      <c r="F46" t="s">
        <v>39</v>
      </c>
      <c r="G46" t="s">
        <v>40</v>
      </c>
      <c r="H46" t="s">
        <v>41</v>
      </c>
      <c r="I46" t="s">
        <v>42</v>
      </c>
      <c r="J46" t="s">
        <v>43</v>
      </c>
      <c r="K46" t="s">
        <v>244</v>
      </c>
      <c r="L46" t="s">
        <v>245</v>
      </c>
      <c r="M46" t="s">
        <v>246</v>
      </c>
      <c r="N46" t="s">
        <v>47</v>
      </c>
      <c r="O46" t="s">
        <v>48</v>
      </c>
      <c r="P46" t="s">
        <v>48</v>
      </c>
      <c r="Q46" t="s">
        <v>115</v>
      </c>
      <c r="R46" t="s">
        <v>37</v>
      </c>
      <c r="S46" t="s">
        <v>247</v>
      </c>
      <c r="T46">
        <v>529745</v>
      </c>
      <c r="U46">
        <v>0</v>
      </c>
      <c r="V46" t="s">
        <v>48</v>
      </c>
      <c r="W46" t="str">
        <f>"President"</f>
        <v>President</v>
      </c>
      <c r="X46" s="1">
        <v>36161</v>
      </c>
      <c r="Y46" t="str">
        <f>"A Tech Electric Enterprise, Inc"</f>
        <v>A Tech Electric Enterprise, Inc</v>
      </c>
      <c r="Z46" t="str">
        <f>"1-(516) 595-7934"</f>
        <v>1-(516) 595-7934</v>
      </c>
      <c r="AA46" t="str">
        <f>"104 Charlotte Avenue"</f>
        <v>104 Charlotte Avenue</v>
      </c>
      <c r="AB46" t="str">
        <f>"Hicksville"</f>
        <v>Hicksville</v>
      </c>
      <c r="AC46" t="str">
        <f>"New York"</f>
        <v>New York</v>
      </c>
      <c r="AD46" t="str">
        <f t="shared" si="3"/>
        <v>NY</v>
      </c>
      <c r="AE46" t="str">
        <f>"11801"</f>
        <v>11801</v>
      </c>
      <c r="AF46" t="s">
        <v>51</v>
      </c>
      <c r="AG46" t="str">
        <f>"15,000,000"</f>
        <v>15,000,000</v>
      </c>
      <c r="AH46" t="str">
        <f>"Electrical"</f>
        <v>Electrical</v>
      </c>
      <c r="AI46" t="s">
        <v>248</v>
      </c>
      <c r="AJ46" t="str">
        <f>"30,000,000"</f>
        <v>30,000,000</v>
      </c>
    </row>
    <row r="47" spans="1:36" x14ac:dyDescent="0.35">
      <c r="A47">
        <v>45</v>
      </c>
      <c r="B47" t="str">
        <f t="shared" si="2"/>
        <v>203620166296150098</v>
      </c>
      <c r="C47">
        <v>1720138377</v>
      </c>
      <c r="D47" t="s">
        <v>37</v>
      </c>
      <c r="E47" t="s">
        <v>38</v>
      </c>
      <c r="F47" t="s">
        <v>39</v>
      </c>
      <c r="G47" t="s">
        <v>40</v>
      </c>
      <c r="H47" t="s">
        <v>41</v>
      </c>
      <c r="I47" t="s">
        <v>42</v>
      </c>
      <c r="J47" t="s">
        <v>106</v>
      </c>
      <c r="K47" t="s">
        <v>249</v>
      </c>
      <c r="L47" t="s">
        <v>250</v>
      </c>
      <c r="M47" t="s">
        <v>251</v>
      </c>
      <c r="N47" t="s">
        <v>48</v>
      </c>
      <c r="O47" t="s">
        <v>48</v>
      </c>
      <c r="P47" t="s">
        <v>48</v>
      </c>
      <c r="Q47" t="s">
        <v>173</v>
      </c>
      <c r="R47" t="s">
        <v>37</v>
      </c>
      <c r="S47" t="s">
        <v>252</v>
      </c>
      <c r="T47">
        <v>585928</v>
      </c>
      <c r="U47">
        <v>0</v>
      </c>
      <c r="V47" t="s">
        <v>47</v>
      </c>
      <c r="W47" t="str">
        <f>"Ceo"</f>
        <v>Ceo</v>
      </c>
      <c r="X47" s="1">
        <v>36161</v>
      </c>
      <c r="Y47" t="str">
        <f>"Dasny"</f>
        <v>Dasny</v>
      </c>
      <c r="Z47" t="str">
        <f>"1-9173744395"</f>
        <v>1-9173744395</v>
      </c>
      <c r="AA47" t="str">
        <f>"515 Broadway"</f>
        <v>515 Broadway</v>
      </c>
      <c r="AB47" t="str">
        <f>"Albany"</f>
        <v>Albany</v>
      </c>
      <c r="AC47" t="str">
        <f>"Albany"</f>
        <v>Albany</v>
      </c>
      <c r="AD47" t="str">
        <f>"New york"</f>
        <v>New york</v>
      </c>
      <c r="AE47" t="str">
        <f>"12007"</f>
        <v>12007</v>
      </c>
      <c r="AF47" t="s">
        <v>51</v>
      </c>
      <c r="AG47" t="str">
        <f>""</f>
        <v/>
      </c>
      <c r="AH47" t="str">
        <f>"Constructuon"</f>
        <v>Constructuon</v>
      </c>
      <c r="AI47" t="str">
        <f>"Is your firm currently a DASNY JOC Contractor?"</f>
        <v>Is your firm currently a DASNY JOC Contractor?</v>
      </c>
      <c r="AJ47" t="str">
        <f>""</f>
        <v/>
      </c>
    </row>
    <row r="48" spans="1:36" x14ac:dyDescent="0.35">
      <c r="A48">
        <v>46</v>
      </c>
      <c r="B48" t="str">
        <f t="shared" si="2"/>
        <v>203620166296150098</v>
      </c>
      <c r="C48">
        <v>1720138377</v>
      </c>
      <c r="D48" t="s">
        <v>37</v>
      </c>
      <c r="E48" t="s">
        <v>38</v>
      </c>
      <c r="F48" t="s">
        <v>39</v>
      </c>
      <c r="G48" t="s">
        <v>40</v>
      </c>
      <c r="H48" t="s">
        <v>41</v>
      </c>
      <c r="I48" t="s">
        <v>42</v>
      </c>
      <c r="J48" t="s">
        <v>43</v>
      </c>
      <c r="K48" t="s">
        <v>253</v>
      </c>
      <c r="L48" t="s">
        <v>102</v>
      </c>
      <c r="M48" t="s">
        <v>254</v>
      </c>
      <c r="N48" t="s">
        <v>47</v>
      </c>
      <c r="O48" t="s">
        <v>48</v>
      </c>
      <c r="P48" t="s">
        <v>48</v>
      </c>
      <c r="Q48" t="s">
        <v>255</v>
      </c>
      <c r="R48" t="s">
        <v>37</v>
      </c>
      <c r="S48" t="s">
        <v>256</v>
      </c>
      <c r="T48">
        <v>863775</v>
      </c>
      <c r="U48">
        <v>0</v>
      </c>
      <c r="V48" t="s">
        <v>48</v>
      </c>
      <c r="W48" t="str">
        <f>"owner"</f>
        <v>owner</v>
      </c>
      <c r="X48" s="1">
        <v>36161</v>
      </c>
      <c r="Y48" t="str">
        <f>"Lerco Electric, LLC"</f>
        <v>Lerco Electric, LLC</v>
      </c>
      <c r="Z48" t="str">
        <f>"1-7185855529"</f>
        <v>1-7185855529</v>
      </c>
      <c r="AA48" t="str">
        <f>"370 E 146 STREET"</f>
        <v>370 E 146 STREET</v>
      </c>
      <c r="AB48" t="str">
        <f>"office"</f>
        <v>office</v>
      </c>
      <c r="AC48" t="str">
        <f>"Bronx"</f>
        <v>Bronx</v>
      </c>
      <c r="AD48" t="str">
        <f>"NY"</f>
        <v>NY</v>
      </c>
      <c r="AE48" t="str">
        <f>"10455"</f>
        <v>10455</v>
      </c>
      <c r="AF48" t="s">
        <v>51</v>
      </c>
      <c r="AG48" t="str">
        <f>"6 million"</f>
        <v>6 million</v>
      </c>
      <c r="AH48" t="str">
        <f>"Electrical"</f>
        <v>Electrical</v>
      </c>
      <c r="AI48" t="str">
        <f>"Is your firm a Certified MBE?"</f>
        <v>Is your firm a Certified MBE?</v>
      </c>
      <c r="AJ48" t="str">
        <f>"10 million"</f>
        <v>10 million</v>
      </c>
    </row>
    <row r="49" spans="1:36" x14ac:dyDescent="0.35">
      <c r="A49">
        <v>47</v>
      </c>
      <c r="B49" t="str">
        <f t="shared" si="2"/>
        <v>203620166296150098</v>
      </c>
      <c r="C49">
        <v>1720138377</v>
      </c>
      <c r="D49" t="s">
        <v>37</v>
      </c>
      <c r="E49" t="s">
        <v>38</v>
      </c>
      <c r="F49" t="s">
        <v>39</v>
      </c>
      <c r="G49" t="s">
        <v>40</v>
      </c>
      <c r="H49" t="s">
        <v>41</v>
      </c>
      <c r="I49" t="s">
        <v>42</v>
      </c>
      <c r="J49" t="s">
        <v>43</v>
      </c>
      <c r="K49" t="s">
        <v>257</v>
      </c>
      <c r="L49" t="s">
        <v>258</v>
      </c>
      <c r="M49" t="s">
        <v>259</v>
      </c>
      <c r="N49" t="s">
        <v>47</v>
      </c>
      <c r="O49" t="s">
        <v>48</v>
      </c>
      <c r="P49" t="s">
        <v>48</v>
      </c>
      <c r="Q49" t="s">
        <v>260</v>
      </c>
      <c r="R49" t="s">
        <v>37</v>
      </c>
      <c r="S49" t="s">
        <v>261</v>
      </c>
      <c r="T49">
        <v>127510</v>
      </c>
      <c r="U49">
        <v>0</v>
      </c>
      <c r="V49" t="s">
        <v>47</v>
      </c>
      <c r="W49" t="str">
        <f>"President"</f>
        <v>President</v>
      </c>
      <c r="X49" s="1">
        <v>36161</v>
      </c>
      <c r="Y49" t="str">
        <f>"AGA Environmental Inc."</f>
        <v>AGA Environmental Inc.</v>
      </c>
      <c r="Z49" t="str">
        <f>"1-5167583093"</f>
        <v>1-5167583093</v>
      </c>
      <c r="AA49" t="str">
        <f>"319 Scarborough Drive"</f>
        <v>319 Scarborough Drive</v>
      </c>
      <c r="AB49" t="str">
        <f>"N/A"</f>
        <v>N/A</v>
      </c>
      <c r="AC49" t="str">
        <f>"Endwell"</f>
        <v>Endwell</v>
      </c>
      <c r="AD49" t="str">
        <f>"New York"</f>
        <v>New York</v>
      </c>
      <c r="AE49" t="str">
        <f>"13760"</f>
        <v>13760</v>
      </c>
      <c r="AF49" t="s">
        <v>51</v>
      </c>
      <c r="AG49" t="str">
        <f>"2M"</f>
        <v>2M</v>
      </c>
      <c r="AH49" t="str">
        <f>"Environmental"</f>
        <v>Environmental</v>
      </c>
      <c r="AI49" t="s">
        <v>52</v>
      </c>
      <c r="AJ49" t="str">
        <f>"2M"</f>
        <v>2M</v>
      </c>
    </row>
    <row r="50" spans="1:36" x14ac:dyDescent="0.35">
      <c r="A50">
        <v>48</v>
      </c>
      <c r="B50" t="str">
        <f t="shared" si="2"/>
        <v>203620166296150098</v>
      </c>
      <c r="C50">
        <v>1720138377</v>
      </c>
      <c r="D50" t="s">
        <v>37</v>
      </c>
      <c r="E50" t="s">
        <v>38</v>
      </c>
      <c r="F50" t="s">
        <v>39</v>
      </c>
      <c r="G50" t="s">
        <v>40</v>
      </c>
      <c r="H50" t="s">
        <v>41</v>
      </c>
      <c r="I50" t="s">
        <v>42</v>
      </c>
      <c r="J50" t="s">
        <v>43</v>
      </c>
      <c r="K50" t="s">
        <v>262</v>
      </c>
      <c r="L50" t="s">
        <v>263</v>
      </c>
      <c r="M50" t="s">
        <v>264</v>
      </c>
      <c r="N50" t="s">
        <v>47</v>
      </c>
      <c r="O50" t="s">
        <v>48</v>
      </c>
      <c r="P50" t="s">
        <v>48</v>
      </c>
      <c r="Q50" t="s">
        <v>242</v>
      </c>
      <c r="R50" t="s">
        <v>37</v>
      </c>
      <c r="S50" t="s">
        <v>265</v>
      </c>
      <c r="T50">
        <v>667846</v>
      </c>
      <c r="U50">
        <v>0</v>
      </c>
      <c r="V50" t="s">
        <v>48</v>
      </c>
      <c r="W50" t="str">
        <f>"President"</f>
        <v>President</v>
      </c>
      <c r="X50" s="1">
        <v>36161</v>
      </c>
      <c r="Y50" t="str">
        <f>"Hossain general construction"</f>
        <v>Hossain general construction</v>
      </c>
      <c r="Z50" t="str">
        <f>"1-9174766400"</f>
        <v>1-9174766400</v>
      </c>
      <c r="AA50" t="str">
        <f>"357 Herkimer st"</f>
        <v>357 Herkimer st</v>
      </c>
      <c r="AB50" t="str">
        <f>"Brooklyn, NY 11216"</f>
        <v>Brooklyn, NY 11216</v>
      </c>
      <c r="AC50" t="str">
        <f>"Brooklyn"</f>
        <v>Brooklyn</v>
      </c>
      <c r="AD50" t="str">
        <f>"New York"</f>
        <v>New York</v>
      </c>
      <c r="AE50" t="str">
        <f>"11216"</f>
        <v>11216</v>
      </c>
      <c r="AF50" t="s">
        <v>51</v>
      </c>
      <c r="AG50" t="str">
        <f>""</f>
        <v/>
      </c>
      <c r="AH50" t="str">
        <f>"Machinery and painting"</f>
        <v>Machinery and painting</v>
      </c>
      <c r="AI50" t="str">
        <f>"Is your firm a Certified MBE?"</f>
        <v>Is your firm a Certified MBE?</v>
      </c>
      <c r="AJ50" t="str">
        <f>""</f>
        <v/>
      </c>
    </row>
    <row r="51" spans="1:36" x14ac:dyDescent="0.35">
      <c r="A51">
        <v>49</v>
      </c>
      <c r="B51" t="str">
        <f t="shared" si="2"/>
        <v>203620166296150098</v>
      </c>
      <c r="C51">
        <v>1720138377</v>
      </c>
      <c r="D51" t="s">
        <v>37</v>
      </c>
      <c r="E51" t="s">
        <v>38</v>
      </c>
      <c r="F51" t="s">
        <v>39</v>
      </c>
      <c r="G51" t="s">
        <v>40</v>
      </c>
      <c r="H51" t="s">
        <v>41</v>
      </c>
      <c r="I51" t="s">
        <v>42</v>
      </c>
      <c r="J51" t="s">
        <v>43</v>
      </c>
      <c r="K51" t="s">
        <v>266</v>
      </c>
      <c r="L51" t="s">
        <v>267</v>
      </c>
      <c r="M51" t="s">
        <v>268</v>
      </c>
      <c r="N51" t="s">
        <v>47</v>
      </c>
      <c r="O51" t="s">
        <v>48</v>
      </c>
      <c r="P51" t="s">
        <v>48</v>
      </c>
      <c r="Q51" t="s">
        <v>242</v>
      </c>
      <c r="R51" t="s">
        <v>37</v>
      </c>
      <c r="S51" t="s">
        <v>269</v>
      </c>
      <c r="T51">
        <v>787899</v>
      </c>
      <c r="U51">
        <v>0</v>
      </c>
      <c r="V51" t="s">
        <v>48</v>
      </c>
      <c r="W51" t="str">
        <f>"Low Voltage Project Manager"</f>
        <v>Low Voltage Project Manager</v>
      </c>
      <c r="X51" s="1">
        <v>36161</v>
      </c>
      <c r="Y51" t="str">
        <f>"1Star-Networks"</f>
        <v>1Star-Networks</v>
      </c>
      <c r="Z51" t="str">
        <f>"1-718-513-6130"</f>
        <v>1-718-513-6130</v>
      </c>
      <c r="AA51" t="str">
        <f>"1140 E. 92ND Street"</f>
        <v>1140 E. 92ND Street</v>
      </c>
      <c r="AB51" t="str">
        <f>"N/A"</f>
        <v>N/A</v>
      </c>
      <c r="AC51" t="str">
        <f>"Brooklyn"</f>
        <v>Brooklyn</v>
      </c>
      <c r="AD51" t="str">
        <f>"NY"</f>
        <v>NY</v>
      </c>
      <c r="AE51" t="str">
        <f>"11236"</f>
        <v>11236</v>
      </c>
      <c r="AF51" t="s">
        <v>51</v>
      </c>
      <c r="AG51" t="str">
        <f>"exploring options"</f>
        <v>exploring options</v>
      </c>
      <c r="AH51" t="str">
        <f>"Low Voltage CCTV, Intrusion and Alarms"</f>
        <v>Low Voltage CCTV, Intrusion and Alarms</v>
      </c>
      <c r="AI51" t="str">
        <f>"Is your firm a Certified MBE?"</f>
        <v>Is your firm a Certified MBE?</v>
      </c>
      <c r="AJ51" t="str">
        <f>"not currently"</f>
        <v>not currently</v>
      </c>
    </row>
    <row r="52" spans="1:36" x14ac:dyDescent="0.35">
      <c r="A52">
        <v>50</v>
      </c>
      <c r="B52" t="str">
        <f t="shared" si="2"/>
        <v>203620166296150098</v>
      </c>
      <c r="C52">
        <v>1720138377</v>
      </c>
      <c r="D52" t="s">
        <v>37</v>
      </c>
      <c r="E52" t="s">
        <v>38</v>
      </c>
      <c r="F52" t="s">
        <v>39</v>
      </c>
      <c r="G52" t="s">
        <v>40</v>
      </c>
      <c r="H52" t="s">
        <v>41</v>
      </c>
      <c r="I52" t="s">
        <v>42</v>
      </c>
      <c r="J52" t="s">
        <v>43</v>
      </c>
      <c r="K52" t="s">
        <v>270</v>
      </c>
      <c r="L52" t="s">
        <v>271</v>
      </c>
      <c r="M52" t="s">
        <v>272</v>
      </c>
      <c r="N52" t="s">
        <v>47</v>
      </c>
      <c r="O52" t="s">
        <v>48</v>
      </c>
      <c r="P52" t="s">
        <v>48</v>
      </c>
      <c r="Q52" t="s">
        <v>173</v>
      </c>
      <c r="R52" t="s">
        <v>37</v>
      </c>
      <c r="S52" t="s">
        <v>273</v>
      </c>
      <c r="T52">
        <v>794284</v>
      </c>
      <c r="U52">
        <v>0</v>
      </c>
      <c r="V52" t="s">
        <v>48</v>
      </c>
      <c r="W52" t="str">
        <f>"Sec/Treas"</f>
        <v>Sec/Treas</v>
      </c>
      <c r="X52" s="1">
        <v>36161</v>
      </c>
      <c r="Y52" t="str">
        <f>"Richards Plumbing and Heating Co., Inc."</f>
        <v>Richards Plumbing and Heating Co., Inc.</v>
      </c>
      <c r="Z52" t="str">
        <f>"1-(718)383-9900"</f>
        <v>1-(718)383-9900</v>
      </c>
      <c r="AA52" t="str">
        <f>"231 Kent Street"</f>
        <v>231 Kent Street</v>
      </c>
      <c r="AB52" t="str">
        <f>"n/a"</f>
        <v>n/a</v>
      </c>
      <c r="AC52" t="str">
        <f>"Brooklyn"</f>
        <v>Brooklyn</v>
      </c>
      <c r="AD52" t="str">
        <f>"NY"</f>
        <v>NY</v>
      </c>
      <c r="AE52" t="str">
        <f>"11222"</f>
        <v>11222</v>
      </c>
      <c r="AF52" t="s">
        <v>51</v>
      </c>
      <c r="AG52" t="str">
        <f>"90M"</f>
        <v>90M</v>
      </c>
      <c r="AH52" t="str">
        <f>"Plumbing, Mechanical, Fire Protection, HVAC"</f>
        <v>Plumbing, Mechanical, Fire Protection, HVAC</v>
      </c>
      <c r="AI52" t="str">
        <f>"Trade contract you are interested in bidding (use semi-colon to seperate each listing)|Has your firm worked on DASNY projects as a prime or sub-contractor?|Has your firm bid on DASNY JOC contract soliciations?"</f>
        <v>Trade contract you are interested in bidding (use semi-colon to seperate each listing)|Has your firm worked on DASNY projects as a prime or sub-contractor?|Has your firm bid on DASNY JOC contract soliciations?</v>
      </c>
      <c r="AJ52" t="str">
        <f>"50M"</f>
        <v>50M</v>
      </c>
    </row>
    <row r="53" spans="1:36" x14ac:dyDescent="0.35">
      <c r="A53">
        <v>51</v>
      </c>
      <c r="B53" t="str">
        <f t="shared" si="2"/>
        <v>203620166296150098</v>
      </c>
      <c r="C53">
        <v>1720138377</v>
      </c>
      <c r="D53" t="s">
        <v>37</v>
      </c>
      <c r="E53" t="s">
        <v>38</v>
      </c>
      <c r="F53" t="s">
        <v>39</v>
      </c>
      <c r="G53" t="s">
        <v>40</v>
      </c>
      <c r="H53" t="s">
        <v>41</v>
      </c>
      <c r="I53" t="s">
        <v>42</v>
      </c>
      <c r="J53" t="s">
        <v>43</v>
      </c>
      <c r="K53" t="s">
        <v>274</v>
      </c>
      <c r="L53" t="s">
        <v>275</v>
      </c>
      <c r="M53" t="s">
        <v>276</v>
      </c>
      <c r="N53" t="s">
        <v>47</v>
      </c>
      <c r="O53" t="s">
        <v>48</v>
      </c>
      <c r="P53" t="s">
        <v>48</v>
      </c>
      <c r="Q53" t="s">
        <v>143</v>
      </c>
      <c r="R53" t="s">
        <v>37</v>
      </c>
      <c r="S53" t="s">
        <v>277</v>
      </c>
      <c r="T53">
        <v>806958</v>
      </c>
      <c r="U53">
        <v>0</v>
      </c>
      <c r="V53" t="s">
        <v>48</v>
      </c>
      <c r="W53" t="str">
        <f>"President"</f>
        <v>President</v>
      </c>
      <c r="X53" s="1">
        <v>36161</v>
      </c>
      <c r="Y53" t="str">
        <f>"GTX Construction Associates Corp"</f>
        <v>GTX Construction Associates Corp</v>
      </c>
      <c r="Z53" t="str">
        <f>"1-5166230840"</f>
        <v>1-5166230840</v>
      </c>
      <c r="AA53" t="str">
        <f>"80 Henry Street"</f>
        <v>80 Henry Street</v>
      </c>
      <c r="AB53" t="str">
        <f>"80 Henry Street"</f>
        <v>80 Henry Street</v>
      </c>
      <c r="AC53" t="str">
        <f>"Freeport"</f>
        <v>Freeport</v>
      </c>
      <c r="AD53" t="str">
        <f>"New York"</f>
        <v>New York</v>
      </c>
      <c r="AE53" t="str">
        <f>"11520"</f>
        <v>11520</v>
      </c>
      <c r="AF53" t="s">
        <v>51</v>
      </c>
      <c r="AG53" t="str">
        <f>"1M"</f>
        <v>1M</v>
      </c>
      <c r="AH53" t="str">
        <f>"General Contractor"</f>
        <v>General Contractor</v>
      </c>
      <c r="AI53" t="str">
        <f>"Trade contract you are interested in bidding (use semi-colon to seperate each listing)|Has your firm bid on DASNY JOC contract soliciations?"</f>
        <v>Trade contract you are interested in bidding (use semi-colon to seperate each listing)|Has your firm bid on DASNY JOC contract soliciations?</v>
      </c>
      <c r="AJ53" t="str">
        <f>"5M"</f>
        <v>5M</v>
      </c>
    </row>
    <row r="54" spans="1:36" x14ac:dyDescent="0.35">
      <c r="A54">
        <v>52</v>
      </c>
      <c r="B54" t="str">
        <f t="shared" si="2"/>
        <v>203620166296150098</v>
      </c>
      <c r="C54">
        <v>1720138377</v>
      </c>
      <c r="D54" t="s">
        <v>37</v>
      </c>
      <c r="E54" t="s">
        <v>38</v>
      </c>
      <c r="F54" t="s">
        <v>39</v>
      </c>
      <c r="G54" t="s">
        <v>40</v>
      </c>
      <c r="H54" t="s">
        <v>41</v>
      </c>
      <c r="I54" t="s">
        <v>42</v>
      </c>
      <c r="J54" t="s">
        <v>43</v>
      </c>
      <c r="K54" t="s">
        <v>278</v>
      </c>
      <c r="L54" t="s">
        <v>279</v>
      </c>
      <c r="M54" t="s">
        <v>280</v>
      </c>
      <c r="N54" t="s">
        <v>47</v>
      </c>
      <c r="O54" t="s">
        <v>48</v>
      </c>
      <c r="P54" t="s">
        <v>48</v>
      </c>
      <c r="Q54" t="s">
        <v>281</v>
      </c>
      <c r="R54" t="s">
        <v>37</v>
      </c>
      <c r="S54" t="s">
        <v>282</v>
      </c>
      <c r="T54">
        <v>179503</v>
      </c>
      <c r="U54">
        <v>0</v>
      </c>
      <c r="V54" t="s">
        <v>48</v>
      </c>
      <c r="W54" t="str">
        <f>"President"</f>
        <v>President</v>
      </c>
      <c r="X54" s="1">
        <v>36161</v>
      </c>
      <c r="Y54" t="str">
        <f>"RK Best Inc."</f>
        <v>RK Best Inc.</v>
      </c>
      <c r="Z54" t="str">
        <f>"1-6469446250"</f>
        <v>1-6469446250</v>
      </c>
      <c r="AA54" t="str">
        <f>"77 Heaterfeild Raod, Valley Stream New York"</f>
        <v>77 Heaterfeild Raod, Valley Stream New York</v>
      </c>
      <c r="AB54" t="str">
        <f>"Same as above"</f>
        <v>Same as above</v>
      </c>
      <c r="AC54" t="str">
        <f>"New York"</f>
        <v>New York</v>
      </c>
      <c r="AD54" t="str">
        <f>"New York"</f>
        <v>New York</v>
      </c>
      <c r="AE54" t="str">
        <f>"11581"</f>
        <v>11581</v>
      </c>
      <c r="AF54" t="s">
        <v>51</v>
      </c>
      <c r="AG54" t="str">
        <f>"1000000"</f>
        <v>1000000</v>
      </c>
      <c r="AH54" t="str">
        <f>"General Construction"</f>
        <v>General Construction</v>
      </c>
      <c r="AI54" t="str">
        <f>"Is your firm a Certified MBE?"</f>
        <v>Is your firm a Certified MBE?</v>
      </c>
      <c r="AJ54" t="str">
        <f>"100000"</f>
        <v>100000</v>
      </c>
    </row>
    <row r="55" spans="1:36" x14ac:dyDescent="0.35">
      <c r="A55">
        <v>53</v>
      </c>
      <c r="B55" t="str">
        <f t="shared" si="2"/>
        <v>203620166296150098</v>
      </c>
      <c r="C55">
        <v>1720138377</v>
      </c>
      <c r="D55" t="s">
        <v>37</v>
      </c>
      <c r="E55" t="s">
        <v>38</v>
      </c>
      <c r="F55" t="s">
        <v>39</v>
      </c>
      <c r="G55" t="s">
        <v>40</v>
      </c>
      <c r="H55" t="s">
        <v>41</v>
      </c>
      <c r="I55" t="s">
        <v>42</v>
      </c>
      <c r="J55" t="s">
        <v>43</v>
      </c>
      <c r="K55" t="s">
        <v>283</v>
      </c>
      <c r="L55" t="s">
        <v>284</v>
      </c>
      <c r="M55" t="s">
        <v>285</v>
      </c>
      <c r="N55" t="s">
        <v>47</v>
      </c>
      <c r="O55" t="s">
        <v>48</v>
      </c>
      <c r="P55" t="s">
        <v>48</v>
      </c>
      <c r="Q55" t="s">
        <v>286</v>
      </c>
      <c r="R55" t="s">
        <v>37</v>
      </c>
      <c r="S55" t="s">
        <v>287</v>
      </c>
      <c r="T55">
        <v>430422</v>
      </c>
      <c r="U55">
        <v>0</v>
      </c>
      <c r="V55" t="s">
        <v>48</v>
      </c>
      <c r="W55" t="str">
        <f>"President"</f>
        <v>President</v>
      </c>
      <c r="X55" s="1">
        <v>36161</v>
      </c>
      <c r="Y55" t="str">
        <f>"Sezekcol Electric Inc"</f>
        <v>Sezekcol Electric Inc</v>
      </c>
      <c r="Z55" t="str">
        <f>"1-19178907214"</f>
        <v>1-19178907214</v>
      </c>
      <c r="AA55" t="str">
        <f>"22319 Linden Boulevard"</f>
        <v>22319 Linden Boulevard</v>
      </c>
      <c r="AB55" t="str">
        <f>"11643 226th Street"</f>
        <v>11643 226th Street</v>
      </c>
      <c r="AC55" t="str">
        <f>"Cambria Heights"</f>
        <v>Cambria Heights</v>
      </c>
      <c r="AD55" t="str">
        <f>"NY"</f>
        <v>NY</v>
      </c>
      <c r="AE55" t="str">
        <f>"11411"</f>
        <v>11411</v>
      </c>
      <c r="AF55" t="s">
        <v>51</v>
      </c>
      <c r="AG55" t="str">
        <f>"400,000"</f>
        <v>400,000</v>
      </c>
      <c r="AH55" t="str">
        <f>"Electrical"</f>
        <v>Electrical</v>
      </c>
      <c r="AI55" t="str">
        <f>"Is your firm a Certified MBE?|Has your firm worked on DASNY projects as a prime or sub-contractor?"</f>
        <v>Is your firm a Certified MBE?|Has your firm worked on DASNY projects as a prime or sub-contractor?</v>
      </c>
      <c r="AJ55" t="str">
        <f>"400,000"</f>
        <v>400,000</v>
      </c>
    </row>
    <row r="56" spans="1:36" x14ac:dyDescent="0.35">
      <c r="A56">
        <v>54</v>
      </c>
      <c r="B56" t="str">
        <f t="shared" si="2"/>
        <v>203620166296150098</v>
      </c>
      <c r="C56">
        <v>1720138377</v>
      </c>
      <c r="D56" t="s">
        <v>37</v>
      </c>
      <c r="E56" t="s">
        <v>38</v>
      </c>
      <c r="F56" t="s">
        <v>39</v>
      </c>
      <c r="G56" t="s">
        <v>40</v>
      </c>
      <c r="H56" t="s">
        <v>41</v>
      </c>
      <c r="I56" t="s">
        <v>42</v>
      </c>
      <c r="J56" t="s">
        <v>43</v>
      </c>
      <c r="K56" t="s">
        <v>210</v>
      </c>
      <c r="L56" t="s">
        <v>211</v>
      </c>
      <c r="M56" t="s">
        <v>212</v>
      </c>
      <c r="N56" t="s">
        <v>47</v>
      </c>
      <c r="O56" t="s">
        <v>48</v>
      </c>
      <c r="P56" t="s">
        <v>48</v>
      </c>
      <c r="Q56" t="s">
        <v>260</v>
      </c>
      <c r="R56" t="s">
        <v>37</v>
      </c>
      <c r="S56" t="s">
        <v>214</v>
      </c>
      <c r="T56">
        <v>889420</v>
      </c>
      <c r="U56">
        <v>0</v>
      </c>
      <c r="V56" t="s">
        <v>48</v>
      </c>
      <c r="W56" t="str">
        <f>"CEP"</f>
        <v>CEP</v>
      </c>
      <c r="X56" s="1">
        <v>36161</v>
      </c>
      <c r="Y56" t="str">
        <f>"Where To Get It Services, LLC"</f>
        <v>Where To Get It Services, LLC</v>
      </c>
      <c r="Z56" t="str">
        <f>"1-3474894482"</f>
        <v>1-3474894482</v>
      </c>
      <c r="AA56" t="str">
        <f>"1395 Pacific St., Suite B"</f>
        <v>1395 Pacific St., Suite B</v>
      </c>
      <c r="AB56" t="str">
        <f>"Brooklyn"</f>
        <v>Brooklyn</v>
      </c>
      <c r="AC56" t="str">
        <f>"New York"</f>
        <v>New York</v>
      </c>
      <c r="AD56" t="str">
        <f>"United States"</f>
        <v>United States</v>
      </c>
      <c r="AE56" t="str">
        <f>"11216"</f>
        <v>11216</v>
      </c>
      <c r="AF56" t="s">
        <v>51</v>
      </c>
      <c r="AG56" t="str">
        <f>"750,000.00"</f>
        <v>750,000.00</v>
      </c>
      <c r="AH56" t="str">
        <f>"Interior Finishes"</f>
        <v>Interior Finishes</v>
      </c>
      <c r="AI56" t="str">
        <f>"Is your firm a NYS Certified WBE?|Is your firm a Certified MBE?|Trade contract you are interested in bidding (use semi-colon to seperate each listing)|Has your firm worked on DASNY projects as a prime or sub-contractor?"</f>
        <v>Is your firm a NYS Certified WBE?|Is your firm a Certified MBE?|Trade contract you are interested in bidding (use semi-colon to seperate each listing)|Has your firm worked on DASNY projects as a prime or sub-contractor?</v>
      </c>
      <c r="AJ56" t="str">
        <f>"750,000.00"</f>
        <v>750,000.00</v>
      </c>
    </row>
    <row r="57" spans="1:36" x14ac:dyDescent="0.35">
      <c r="A57">
        <v>55</v>
      </c>
      <c r="B57" t="str">
        <f t="shared" si="2"/>
        <v>203620166296150098</v>
      </c>
      <c r="C57">
        <v>1720138377</v>
      </c>
      <c r="D57" t="s">
        <v>37</v>
      </c>
      <c r="E57" t="s">
        <v>38</v>
      </c>
      <c r="F57" t="s">
        <v>39</v>
      </c>
      <c r="G57" t="s">
        <v>40</v>
      </c>
      <c r="H57" t="s">
        <v>41</v>
      </c>
      <c r="I57" t="s">
        <v>42</v>
      </c>
      <c r="J57" t="s">
        <v>43</v>
      </c>
      <c r="K57" t="s">
        <v>283</v>
      </c>
      <c r="L57" t="s">
        <v>284</v>
      </c>
      <c r="M57" t="s">
        <v>285</v>
      </c>
      <c r="N57" t="s">
        <v>47</v>
      </c>
      <c r="O57" t="s">
        <v>48</v>
      </c>
      <c r="P57" t="s">
        <v>48</v>
      </c>
      <c r="Q57" t="s">
        <v>288</v>
      </c>
      <c r="R57" t="s">
        <v>37</v>
      </c>
      <c r="S57" t="s">
        <v>287</v>
      </c>
      <c r="T57">
        <v>430422</v>
      </c>
      <c r="U57">
        <v>0</v>
      </c>
      <c r="V57" t="s">
        <v>48</v>
      </c>
      <c r="W57" t="str">
        <f>"President"</f>
        <v>President</v>
      </c>
      <c r="X57" s="1">
        <v>36161</v>
      </c>
      <c r="Y57" t="str">
        <f>"Sezekcol Electric Inc"</f>
        <v>Sezekcol Electric Inc</v>
      </c>
      <c r="Z57" t="str">
        <f>"1-19178907214"</f>
        <v>1-19178907214</v>
      </c>
      <c r="AA57" t="str">
        <f>"22319 Linden Boulevard"</f>
        <v>22319 Linden Boulevard</v>
      </c>
      <c r="AB57" t="str">
        <f>"11643 226th Street"</f>
        <v>11643 226th Street</v>
      </c>
      <c r="AC57" t="str">
        <f>"Cambria Heights"</f>
        <v>Cambria Heights</v>
      </c>
      <c r="AD57" t="str">
        <f>"NY"</f>
        <v>NY</v>
      </c>
      <c r="AE57" t="str">
        <f>"11411"</f>
        <v>11411</v>
      </c>
      <c r="AF57" t="s">
        <v>51</v>
      </c>
      <c r="AG57" t="str">
        <f>"400,000"</f>
        <v>400,000</v>
      </c>
      <c r="AH57" t="str">
        <f>"Electrical"</f>
        <v>Electrical</v>
      </c>
      <c r="AI57" t="str">
        <f>"Is your firm a Certified MBE?|Has your firm worked on DASNY projects as a prime or sub-contractor?"</f>
        <v>Is your firm a Certified MBE?|Has your firm worked on DASNY projects as a prime or sub-contractor?</v>
      </c>
      <c r="AJ57" t="str">
        <f>"400,000"</f>
        <v>400,000</v>
      </c>
    </row>
    <row r="58" spans="1:36" x14ac:dyDescent="0.35">
      <c r="A58">
        <v>56</v>
      </c>
      <c r="B58" t="str">
        <f t="shared" si="2"/>
        <v>203620166296150098</v>
      </c>
      <c r="C58">
        <v>1720138377</v>
      </c>
      <c r="D58" t="s">
        <v>37</v>
      </c>
      <c r="E58" t="s">
        <v>38</v>
      </c>
      <c r="F58" t="s">
        <v>39</v>
      </c>
      <c r="G58" t="s">
        <v>40</v>
      </c>
      <c r="H58" t="s">
        <v>41</v>
      </c>
      <c r="I58" t="s">
        <v>42</v>
      </c>
      <c r="J58" t="s">
        <v>43</v>
      </c>
      <c r="K58" t="s">
        <v>289</v>
      </c>
      <c r="L58" t="s">
        <v>290</v>
      </c>
      <c r="M58" t="s">
        <v>291</v>
      </c>
      <c r="N58" t="s">
        <v>47</v>
      </c>
      <c r="O58" t="s">
        <v>48</v>
      </c>
      <c r="P58" t="s">
        <v>48</v>
      </c>
      <c r="Q58" t="s">
        <v>40</v>
      </c>
      <c r="R58" t="s">
        <v>37</v>
      </c>
      <c r="S58" t="s">
        <v>292</v>
      </c>
      <c r="T58">
        <v>277219</v>
      </c>
      <c r="U58">
        <v>0</v>
      </c>
      <c r="V58" t="s">
        <v>48</v>
      </c>
      <c r="W58" t="str">
        <f>"President"</f>
        <v>President</v>
      </c>
      <c r="X58" s="1">
        <v>36161</v>
      </c>
      <c r="Y58" t="str">
        <f>"K.O. Technologies, Inc."</f>
        <v>K.O. Technologies, Inc.</v>
      </c>
      <c r="Z58" t="str">
        <f>"1-6314274190"</f>
        <v>1-6314274190</v>
      </c>
      <c r="AA58" t="str">
        <f>"20 Bridle Lane"</f>
        <v>20 Bridle Lane</v>
      </c>
      <c r="AB58" t="str">
        <f>"20 Bridle Lane"</f>
        <v>20 Bridle Lane</v>
      </c>
      <c r="AC58" t="str">
        <f>"SOUTH HUNTINGTON"</f>
        <v>SOUTH HUNTINGTON</v>
      </c>
      <c r="AD58" t="str">
        <f>"New York"</f>
        <v>New York</v>
      </c>
      <c r="AE58" t="str">
        <f>"11746-4402"</f>
        <v>11746-4402</v>
      </c>
      <c r="AF58" t="s">
        <v>51</v>
      </c>
      <c r="AG58" t="str">
        <f>"3 Million"</f>
        <v>3 Million</v>
      </c>
      <c r="AH58" t="str">
        <f>"General Contractor"</f>
        <v>General Contractor</v>
      </c>
      <c r="AI58" t="str">
        <f>"Is your firm a Certified MBE?"</f>
        <v>Is your firm a Certified MBE?</v>
      </c>
      <c r="AJ58" t="str">
        <f>"6 Million"</f>
        <v>6 Million</v>
      </c>
    </row>
    <row r="59" spans="1:36" x14ac:dyDescent="0.35">
      <c r="A59">
        <v>57</v>
      </c>
      <c r="B59" t="str">
        <f t="shared" si="2"/>
        <v>203620166296150098</v>
      </c>
      <c r="C59">
        <v>1720138377</v>
      </c>
      <c r="D59" t="s">
        <v>37</v>
      </c>
      <c r="E59" t="s">
        <v>38</v>
      </c>
      <c r="F59" t="s">
        <v>39</v>
      </c>
      <c r="G59" t="s">
        <v>40</v>
      </c>
      <c r="H59" t="s">
        <v>41</v>
      </c>
      <c r="I59" t="s">
        <v>42</v>
      </c>
      <c r="J59" t="s">
        <v>43</v>
      </c>
      <c r="K59" t="s">
        <v>293</v>
      </c>
      <c r="L59" t="s">
        <v>294</v>
      </c>
      <c r="M59" t="s">
        <v>295</v>
      </c>
      <c r="N59" t="s">
        <v>47</v>
      </c>
      <c r="O59" t="s">
        <v>48</v>
      </c>
      <c r="P59" t="s">
        <v>48</v>
      </c>
      <c r="Q59" t="s">
        <v>143</v>
      </c>
      <c r="R59" t="s">
        <v>37</v>
      </c>
      <c r="S59" t="s">
        <v>296</v>
      </c>
      <c r="T59">
        <v>569965</v>
      </c>
      <c r="U59">
        <v>0</v>
      </c>
      <c r="V59" t="s">
        <v>48</v>
      </c>
      <c r="W59" t="str">
        <f>"Contractor Sales Rep"</f>
        <v>Contractor Sales Rep</v>
      </c>
      <c r="X59" s="1">
        <v>36161</v>
      </c>
      <c r="Y59" t="str">
        <f>"Specialty electrical (low voltage)"</f>
        <v>Specialty electrical (low voltage)</v>
      </c>
      <c r="Z59" t="str">
        <f>"1-5857102541"</f>
        <v>1-5857102541</v>
      </c>
      <c r="AA59" t="str">
        <f>"40 Rutter St"</f>
        <v>40 Rutter St</v>
      </c>
      <c r="AB59" t="str">
        <f>"40 Rutter St"</f>
        <v>40 Rutter St</v>
      </c>
      <c r="AC59" t="str">
        <f>"Rochester"</f>
        <v>Rochester</v>
      </c>
      <c r="AD59" t="str">
        <f t="shared" ref="AD59:AD64" si="4">"NY"</f>
        <v>NY</v>
      </c>
      <c r="AE59" t="str">
        <f>"14606"</f>
        <v>14606</v>
      </c>
      <c r="AF59" t="s">
        <v>51</v>
      </c>
      <c r="AG59" t="str">
        <f>"400,000"</f>
        <v>400,000</v>
      </c>
      <c r="AH59" t="str">
        <f>"Fire alarm, Access control, CCTV, Security systems"</f>
        <v>Fire alarm, Access control, CCTV, Security systems</v>
      </c>
      <c r="AI59" t="str">
        <f>"Trade contract you are interested in bidding (use semi-colon to seperate each listing)"</f>
        <v>Trade contract you are interested in bidding (use semi-colon to seperate each listing)</v>
      </c>
      <c r="AJ59" t="str">
        <f>"400,000"</f>
        <v>400,000</v>
      </c>
    </row>
    <row r="60" spans="1:36" x14ac:dyDescent="0.35">
      <c r="A60">
        <v>58</v>
      </c>
      <c r="B60" t="str">
        <f t="shared" si="2"/>
        <v>203620166296150098</v>
      </c>
      <c r="C60">
        <v>1720138377</v>
      </c>
      <c r="D60" t="s">
        <v>37</v>
      </c>
      <c r="E60" t="s">
        <v>38</v>
      </c>
      <c r="F60" t="s">
        <v>39</v>
      </c>
      <c r="G60" t="s">
        <v>40</v>
      </c>
      <c r="H60" t="s">
        <v>41</v>
      </c>
      <c r="I60" t="s">
        <v>42</v>
      </c>
      <c r="J60" t="s">
        <v>43</v>
      </c>
      <c r="K60" t="s">
        <v>297</v>
      </c>
      <c r="L60" t="s">
        <v>298</v>
      </c>
      <c r="M60" t="s">
        <v>299</v>
      </c>
      <c r="N60" t="s">
        <v>47</v>
      </c>
      <c r="O60" t="s">
        <v>48</v>
      </c>
      <c r="P60" t="s">
        <v>48</v>
      </c>
      <c r="Q60" t="s">
        <v>143</v>
      </c>
      <c r="R60" t="s">
        <v>37</v>
      </c>
      <c r="S60" t="s">
        <v>300</v>
      </c>
      <c r="T60">
        <v>643539</v>
      </c>
      <c r="U60">
        <v>0</v>
      </c>
      <c r="V60" t="s">
        <v>48</v>
      </c>
      <c r="W60" t="str">
        <f>"Owner"</f>
        <v>Owner</v>
      </c>
      <c r="X60" s="1">
        <v>36161</v>
      </c>
      <c r="Y60" t="str">
        <f>"SJs Plumbing &amp; HVAC"</f>
        <v>SJs Plumbing &amp; HVAC</v>
      </c>
      <c r="Z60" t="str">
        <f>"1-6077604165"</f>
        <v>1-6077604165</v>
      </c>
      <c r="AA60" t="str">
        <f>"200 Washington Avenue"</f>
        <v>200 Washington Avenue</v>
      </c>
      <c r="AB60" t="str">
        <f>"Suite 196"</f>
        <v>Suite 196</v>
      </c>
      <c r="AC60" t="str">
        <f>"Endicott"</f>
        <v>Endicott</v>
      </c>
      <c r="AD60" t="str">
        <f t="shared" si="4"/>
        <v>NY</v>
      </c>
      <c r="AE60" t="str">
        <f>"13761"</f>
        <v>13761</v>
      </c>
      <c r="AF60" t="s">
        <v>51</v>
      </c>
      <c r="AG60" t="str">
        <f>""</f>
        <v/>
      </c>
      <c r="AH60" t="str">
        <f>"HVAC"</f>
        <v>HVAC</v>
      </c>
      <c r="AI60" t="str">
        <f>"Is your firm a NYS Certified SVDOB?"</f>
        <v>Is your firm a NYS Certified SVDOB?</v>
      </c>
      <c r="AJ60" t="str">
        <f>""</f>
        <v/>
      </c>
    </row>
    <row r="61" spans="1:36" x14ac:dyDescent="0.35">
      <c r="A61">
        <v>59</v>
      </c>
      <c r="B61" t="str">
        <f t="shared" si="2"/>
        <v>203620166296150098</v>
      </c>
      <c r="C61">
        <v>1720138377</v>
      </c>
      <c r="D61" t="s">
        <v>37</v>
      </c>
      <c r="E61" t="s">
        <v>38</v>
      </c>
      <c r="F61" t="s">
        <v>39</v>
      </c>
      <c r="G61" t="s">
        <v>40</v>
      </c>
      <c r="H61" t="s">
        <v>41</v>
      </c>
      <c r="I61" t="s">
        <v>42</v>
      </c>
      <c r="J61" t="s">
        <v>43</v>
      </c>
      <c r="K61" t="s">
        <v>301</v>
      </c>
      <c r="L61" t="s">
        <v>302</v>
      </c>
      <c r="M61" t="s">
        <v>303</v>
      </c>
      <c r="N61" t="s">
        <v>47</v>
      </c>
      <c r="O61" t="s">
        <v>48</v>
      </c>
      <c r="P61" t="s">
        <v>48</v>
      </c>
      <c r="Q61" t="s">
        <v>56</v>
      </c>
      <c r="R61" t="s">
        <v>37</v>
      </c>
      <c r="S61" t="s">
        <v>304</v>
      </c>
      <c r="T61">
        <v>251570</v>
      </c>
      <c r="U61">
        <v>0</v>
      </c>
      <c r="V61" t="s">
        <v>47</v>
      </c>
      <c r="W61" t="str">
        <f>"Project Engineer"</f>
        <v>Project Engineer</v>
      </c>
      <c r="X61" s="1">
        <v>36161</v>
      </c>
      <c r="Y61" t="str">
        <f>"KLK Electric Inc"</f>
        <v>KLK Electric Inc</v>
      </c>
      <c r="Z61" t="str">
        <f>"1-718-412-8166"</f>
        <v>1-718-412-8166</v>
      </c>
      <c r="AA61" t="str">
        <f>"4366B Victory Blvd"</f>
        <v>4366B Victory Blvd</v>
      </c>
      <c r="AB61" t="str">
        <f>"2nd Floor"</f>
        <v>2nd Floor</v>
      </c>
      <c r="AC61" t="str">
        <f>"Staten Island"</f>
        <v>Staten Island</v>
      </c>
      <c r="AD61" t="str">
        <f t="shared" si="4"/>
        <v>NY</v>
      </c>
      <c r="AE61" t="str">
        <f>"10314"</f>
        <v>10314</v>
      </c>
      <c r="AF61" t="s">
        <v>51</v>
      </c>
      <c r="AG61" t="str">
        <f>""</f>
        <v/>
      </c>
      <c r="AH61" t="str">
        <f>"Electrical"</f>
        <v>Electrical</v>
      </c>
      <c r="AI61" t="str">
        <f>"Is your firm a Certified MBE?|Has your firm worked on DASNY projects as a prime or sub-contractor?|Has your firm bid on DASNY JOC contract soliciations?"</f>
        <v>Is your firm a Certified MBE?|Has your firm worked on DASNY projects as a prime or sub-contractor?|Has your firm bid on DASNY JOC contract soliciations?</v>
      </c>
      <c r="AJ61" t="str">
        <f>""</f>
        <v/>
      </c>
    </row>
    <row r="62" spans="1:36" x14ac:dyDescent="0.35">
      <c r="A62">
        <v>60</v>
      </c>
      <c r="B62" t="str">
        <f t="shared" si="2"/>
        <v>203620166296150098</v>
      </c>
      <c r="C62">
        <v>1720138377</v>
      </c>
      <c r="D62" t="s">
        <v>37</v>
      </c>
      <c r="E62" t="s">
        <v>38</v>
      </c>
      <c r="F62" t="s">
        <v>39</v>
      </c>
      <c r="G62" t="s">
        <v>40</v>
      </c>
      <c r="H62" t="s">
        <v>41</v>
      </c>
      <c r="I62" t="s">
        <v>42</v>
      </c>
      <c r="J62" t="s">
        <v>43</v>
      </c>
      <c r="K62" t="s">
        <v>305</v>
      </c>
      <c r="L62" t="s">
        <v>306</v>
      </c>
      <c r="M62" t="s">
        <v>307</v>
      </c>
      <c r="N62" t="s">
        <v>47</v>
      </c>
      <c r="O62" t="s">
        <v>48</v>
      </c>
      <c r="P62" t="s">
        <v>48</v>
      </c>
      <c r="Q62" t="s">
        <v>56</v>
      </c>
      <c r="R62" t="s">
        <v>37</v>
      </c>
      <c r="S62" t="s">
        <v>308</v>
      </c>
      <c r="T62">
        <v>913052</v>
      </c>
      <c r="U62">
        <v>0</v>
      </c>
      <c r="V62" t="s">
        <v>48</v>
      </c>
      <c r="W62" t="str">
        <f>"Director of Pre-Construction"</f>
        <v>Director of Pre-Construction</v>
      </c>
      <c r="X62" s="1">
        <v>36161</v>
      </c>
      <c r="Y62" t="str">
        <f>"Willett Builders"</f>
        <v>Willett Builders</v>
      </c>
      <c r="Z62" t="str">
        <f>"1-585-599-7001"</f>
        <v>1-585-599-7001</v>
      </c>
      <c r="AA62" t="str">
        <f>"180 Genesee St"</f>
        <v>180 Genesee St</v>
      </c>
      <c r="AB62" t="str">
        <f>"Same"</f>
        <v>Same</v>
      </c>
      <c r="AC62" t="str">
        <f>"Corfu"</f>
        <v>Corfu</v>
      </c>
      <c r="AD62" t="str">
        <f t="shared" si="4"/>
        <v>NY</v>
      </c>
      <c r="AE62" t="str">
        <f>"14036"</f>
        <v>14036</v>
      </c>
      <c r="AF62" t="s">
        <v>51</v>
      </c>
      <c r="AG62" t="str">
        <f>"6,000,000"</f>
        <v>6,000,000</v>
      </c>
      <c r="AH62" t="str">
        <f>"GC, framing, Plumbing, HVAC"</f>
        <v>GC, framing, Plumbing, HVAC</v>
      </c>
      <c r="AI62" t="s">
        <v>309</v>
      </c>
      <c r="AJ62" t="str">
        <f>""</f>
        <v/>
      </c>
    </row>
    <row r="63" spans="1:36" x14ac:dyDescent="0.35">
      <c r="A63">
        <v>61</v>
      </c>
      <c r="B63" t="str">
        <f t="shared" si="2"/>
        <v>203620166296150098</v>
      </c>
      <c r="C63">
        <v>1720138377</v>
      </c>
      <c r="D63" t="s">
        <v>37</v>
      </c>
      <c r="E63" t="s">
        <v>38</v>
      </c>
      <c r="F63" t="s">
        <v>39</v>
      </c>
      <c r="G63" t="s">
        <v>40</v>
      </c>
      <c r="H63" t="s">
        <v>41</v>
      </c>
      <c r="I63" t="s">
        <v>42</v>
      </c>
      <c r="J63" t="s">
        <v>43</v>
      </c>
      <c r="K63" t="s">
        <v>310</v>
      </c>
      <c r="L63" t="s">
        <v>311</v>
      </c>
      <c r="M63" t="s">
        <v>312</v>
      </c>
      <c r="N63" t="s">
        <v>47</v>
      </c>
      <c r="O63" t="s">
        <v>48</v>
      </c>
      <c r="P63" t="s">
        <v>48</v>
      </c>
      <c r="Q63" t="s">
        <v>313</v>
      </c>
      <c r="R63" t="s">
        <v>37</v>
      </c>
      <c r="S63" t="s">
        <v>314</v>
      </c>
      <c r="T63">
        <v>138931</v>
      </c>
      <c r="U63">
        <v>0</v>
      </c>
      <c r="V63" t="s">
        <v>48</v>
      </c>
      <c r="W63" t="str">
        <f>"ADMIN"</f>
        <v>ADMIN</v>
      </c>
      <c r="X63" s="1">
        <v>36161</v>
      </c>
      <c r="Y63" t="str">
        <f>"CORE ELECTRIC MEP INDUSTRIES, LLC"</f>
        <v>CORE ELECTRIC MEP INDUSTRIES, LLC</v>
      </c>
      <c r="Z63" t="str">
        <f>"1-3475423222"</f>
        <v>1-3475423222</v>
      </c>
      <c r="AA63" t="str">
        <f>"129-09 26TH AVE"</f>
        <v>129-09 26TH AVE</v>
      </c>
      <c r="AB63" t="str">
        <f>"SUITE 203"</f>
        <v>SUITE 203</v>
      </c>
      <c r="AC63" t="str">
        <f>"FLUSHING"</f>
        <v>FLUSHING</v>
      </c>
      <c r="AD63" t="str">
        <f t="shared" si="4"/>
        <v>NY</v>
      </c>
      <c r="AE63" t="str">
        <f>"11354"</f>
        <v>11354</v>
      </c>
      <c r="AF63" t="s">
        <v>51</v>
      </c>
      <c r="AG63" t="str">
        <f>""</f>
        <v/>
      </c>
      <c r="AH63" t="str">
        <f>"ELECTRICAL"</f>
        <v>ELECTRICAL</v>
      </c>
      <c r="AI63" t="str">
        <f>"Is your firm a Certified MBE?"</f>
        <v>Is your firm a Certified MBE?</v>
      </c>
      <c r="AJ63" t="str">
        <f>""</f>
        <v/>
      </c>
    </row>
    <row r="64" spans="1:36" x14ac:dyDescent="0.35">
      <c r="A64">
        <v>62</v>
      </c>
      <c r="B64" t="str">
        <f t="shared" si="2"/>
        <v>203620166296150098</v>
      </c>
      <c r="C64">
        <v>1720138377</v>
      </c>
      <c r="D64" t="s">
        <v>37</v>
      </c>
      <c r="E64" t="s">
        <v>38</v>
      </c>
      <c r="F64" t="s">
        <v>39</v>
      </c>
      <c r="G64" t="s">
        <v>40</v>
      </c>
      <c r="H64" t="s">
        <v>41</v>
      </c>
      <c r="I64" t="s">
        <v>42</v>
      </c>
      <c r="J64" t="s">
        <v>43</v>
      </c>
      <c r="K64" t="s">
        <v>315</v>
      </c>
      <c r="L64" t="s">
        <v>316</v>
      </c>
      <c r="M64" t="s">
        <v>317</v>
      </c>
      <c r="N64" t="s">
        <v>47</v>
      </c>
      <c r="O64" t="s">
        <v>48</v>
      </c>
      <c r="P64" t="s">
        <v>48</v>
      </c>
      <c r="Q64" t="s">
        <v>163</v>
      </c>
      <c r="R64" t="s">
        <v>37</v>
      </c>
      <c r="S64" t="s">
        <v>318</v>
      </c>
      <c r="T64">
        <v>356261</v>
      </c>
      <c r="U64">
        <v>0</v>
      </c>
      <c r="V64" t="s">
        <v>48</v>
      </c>
      <c r="W64" t="str">
        <f>"President"</f>
        <v>President</v>
      </c>
      <c r="X64" s="1">
        <v>36161</v>
      </c>
      <c r="Y64" t="str">
        <f>"Zaman Construction Corp."</f>
        <v>Zaman Construction Corp.</v>
      </c>
      <c r="Z64" t="str">
        <f>"1-2129640189"</f>
        <v>1-2129640189</v>
      </c>
      <c r="AA64" t="str">
        <f>"97-53 85th Street"</f>
        <v>97-53 85th Street</v>
      </c>
      <c r="AB64" t="str">
        <f>"97-53 85th Street"</f>
        <v>97-53 85th Street</v>
      </c>
      <c r="AC64" t="str">
        <f>"Ozone Park"</f>
        <v>Ozone Park</v>
      </c>
      <c r="AD64" t="str">
        <f t="shared" si="4"/>
        <v>NY</v>
      </c>
      <c r="AE64" t="str">
        <f>"11416"</f>
        <v>11416</v>
      </c>
      <c r="AF64" t="s">
        <v>51</v>
      </c>
      <c r="AG64" t="str">
        <f>"30,000,000"</f>
        <v>30,000,000</v>
      </c>
      <c r="AH64" t="str">
        <f>"gC"</f>
        <v>gC</v>
      </c>
      <c r="AI64" t="str">
        <f>"Is your firm a Certified MBE?"</f>
        <v>Is your firm a Certified MBE?</v>
      </c>
      <c r="AJ64" t="str">
        <f>"60,000,000"</f>
        <v>60,000,000</v>
      </c>
    </row>
    <row r="65" spans="1:36" x14ac:dyDescent="0.35">
      <c r="A65">
        <v>63</v>
      </c>
      <c r="B65" t="str">
        <f t="shared" si="2"/>
        <v>203620166296150098</v>
      </c>
      <c r="C65">
        <v>1720138377</v>
      </c>
      <c r="D65" t="s">
        <v>37</v>
      </c>
      <c r="E65" t="s">
        <v>38</v>
      </c>
      <c r="F65" t="s">
        <v>39</v>
      </c>
      <c r="G65" t="s">
        <v>40</v>
      </c>
      <c r="H65" t="s">
        <v>41</v>
      </c>
      <c r="I65" t="s">
        <v>42</v>
      </c>
      <c r="J65" t="s">
        <v>43</v>
      </c>
      <c r="K65" t="s">
        <v>160</v>
      </c>
      <c r="L65" t="s">
        <v>161</v>
      </c>
      <c r="M65" t="s">
        <v>162</v>
      </c>
      <c r="N65" t="s">
        <v>47</v>
      </c>
      <c r="O65" t="s">
        <v>48</v>
      </c>
      <c r="P65" t="s">
        <v>48</v>
      </c>
      <c r="Q65" t="s">
        <v>163</v>
      </c>
      <c r="R65" t="s">
        <v>37</v>
      </c>
      <c r="S65" t="s">
        <v>164</v>
      </c>
      <c r="T65">
        <v>847955</v>
      </c>
      <c r="U65">
        <v>0</v>
      </c>
      <c r="V65" t="s">
        <v>48</v>
      </c>
      <c r="W65" t="str">
        <f>"President"</f>
        <v>President</v>
      </c>
      <c r="X65" s="1">
        <v>36161</v>
      </c>
      <c r="Y65" t="str">
        <f>"Gemini Electric Co., Inc"</f>
        <v>Gemini Electric Co., Inc</v>
      </c>
      <c r="Z65" t="str">
        <f>"1-7186546700"</f>
        <v>1-7186546700</v>
      </c>
      <c r="AA65" t="str">
        <f>"2460 Williamsbridge Rd,"</f>
        <v>2460 Williamsbridge Rd,</v>
      </c>
      <c r="AB65" t="str">
        <f>"2nd Floor"</f>
        <v>2nd Floor</v>
      </c>
      <c r="AC65" t="str">
        <f>"Bronx"</f>
        <v>Bronx</v>
      </c>
      <c r="AD65" t="str">
        <f>"New York"</f>
        <v>New York</v>
      </c>
      <c r="AE65" t="str">
        <f>"10469"</f>
        <v>10469</v>
      </c>
      <c r="AF65" t="s">
        <v>51</v>
      </c>
      <c r="AG65" t="str">
        <f>""</f>
        <v/>
      </c>
      <c r="AH65" t="str">
        <f>"Electric"</f>
        <v>Electric</v>
      </c>
      <c r="AI65" t="str">
        <f>"Is your firm currently a DASNY JOC Contractor?"</f>
        <v>Is your firm currently a DASNY JOC Contractor?</v>
      </c>
      <c r="AJ65" t="str">
        <f>""</f>
        <v/>
      </c>
    </row>
    <row r="66" spans="1:36" x14ac:dyDescent="0.35">
      <c r="A66">
        <v>64</v>
      </c>
      <c r="B66" t="str">
        <f t="shared" si="2"/>
        <v>203620166296150098</v>
      </c>
      <c r="C66">
        <v>1720138377</v>
      </c>
      <c r="D66" t="s">
        <v>37</v>
      </c>
      <c r="E66" t="s">
        <v>38</v>
      </c>
      <c r="F66" t="s">
        <v>39</v>
      </c>
      <c r="G66" t="s">
        <v>40</v>
      </c>
      <c r="H66" t="s">
        <v>41</v>
      </c>
      <c r="I66" t="s">
        <v>42</v>
      </c>
      <c r="J66" t="s">
        <v>43</v>
      </c>
      <c r="K66" t="s">
        <v>319</v>
      </c>
      <c r="L66" t="s">
        <v>320</v>
      </c>
      <c r="M66" t="s">
        <v>321</v>
      </c>
      <c r="N66" t="s">
        <v>47</v>
      </c>
      <c r="O66" t="s">
        <v>48</v>
      </c>
      <c r="P66" t="s">
        <v>48</v>
      </c>
      <c r="Q66" t="s">
        <v>168</v>
      </c>
      <c r="R66" t="s">
        <v>37</v>
      </c>
      <c r="S66" t="s">
        <v>322</v>
      </c>
      <c r="T66">
        <v>879831</v>
      </c>
      <c r="U66">
        <v>0</v>
      </c>
      <c r="V66" t="s">
        <v>48</v>
      </c>
      <c r="W66" t="str">
        <f>"Construction Administrator"</f>
        <v>Construction Administrator</v>
      </c>
      <c r="X66" s="1">
        <v>36161</v>
      </c>
      <c r="Y66" t="str">
        <f>"Nicholson &amp; Galloway"</f>
        <v>Nicholson &amp; Galloway</v>
      </c>
      <c r="Z66" t="str">
        <f>"1-5166713900"</f>
        <v>1-5166713900</v>
      </c>
      <c r="AA66" t="str">
        <f>"261 Glen Head Road,"</f>
        <v>261 Glen Head Road,</v>
      </c>
      <c r="AB66" t="str">
        <f>"NA"</f>
        <v>NA</v>
      </c>
      <c r="AC66" t="str">
        <f>"Glen Head"</f>
        <v>Glen Head</v>
      </c>
      <c r="AD66" t="str">
        <f>"NY"</f>
        <v>NY</v>
      </c>
      <c r="AE66" t="str">
        <f>"11545"</f>
        <v>11545</v>
      </c>
      <c r="AF66" t="s">
        <v>51</v>
      </c>
      <c r="AG66" t="str">
        <f>""</f>
        <v/>
      </c>
      <c r="AH66" t="str">
        <f>"masonry, roofing, sheetmetal"</f>
        <v>masonry, roofing, sheetmetal</v>
      </c>
      <c r="AI66" t="str">
        <f>"Has your firm worked on DASNY projects as a prime or sub-contractor?"</f>
        <v>Has your firm worked on DASNY projects as a prime or sub-contractor?</v>
      </c>
      <c r="AJ66" t="str">
        <f>""</f>
        <v/>
      </c>
    </row>
    <row r="67" spans="1:36" x14ac:dyDescent="0.35">
      <c r="A67">
        <v>65</v>
      </c>
      <c r="B67" t="str">
        <f t="shared" ref="B67:B98" si="5">"203620166296150098"</f>
        <v>203620166296150098</v>
      </c>
      <c r="C67">
        <v>1720138377</v>
      </c>
      <c r="D67" t="s">
        <v>37</v>
      </c>
      <c r="E67" t="s">
        <v>38</v>
      </c>
      <c r="F67" t="s">
        <v>39</v>
      </c>
      <c r="G67" t="s">
        <v>40</v>
      </c>
      <c r="H67" t="s">
        <v>41</v>
      </c>
      <c r="I67" t="s">
        <v>42</v>
      </c>
      <c r="J67" t="s">
        <v>43</v>
      </c>
      <c r="K67" t="s">
        <v>323</v>
      </c>
      <c r="L67" t="s">
        <v>324</v>
      </c>
      <c r="M67" t="s">
        <v>325</v>
      </c>
      <c r="N67" t="s">
        <v>47</v>
      </c>
      <c r="O67" t="s">
        <v>48</v>
      </c>
      <c r="P67" t="s">
        <v>48</v>
      </c>
      <c r="Q67" t="s">
        <v>49</v>
      </c>
      <c r="R67" t="s">
        <v>37</v>
      </c>
      <c r="S67" t="s">
        <v>326</v>
      </c>
      <c r="T67">
        <v>884831</v>
      </c>
      <c r="U67">
        <v>0</v>
      </c>
      <c r="V67" t="s">
        <v>48</v>
      </c>
      <c r="W67" t="str">
        <f>"Business Development"</f>
        <v>Business Development</v>
      </c>
      <c r="X67" s="1">
        <v>36161</v>
      </c>
      <c r="Y67" t="str">
        <f>"IAQ SYSTEMS INC"</f>
        <v>IAQ SYSTEMS INC</v>
      </c>
      <c r="Z67" t="str">
        <f>"1-3473275056"</f>
        <v>1-3473275056</v>
      </c>
      <c r="AA67" t="str">
        <f>"555 Eight Avenue,"</f>
        <v>555 Eight Avenue,</v>
      </c>
      <c r="AB67" t="str">
        <f>"Suite 1502"</f>
        <v>Suite 1502</v>
      </c>
      <c r="AC67" t="str">
        <f>"NEW YORK"</f>
        <v>NEW YORK</v>
      </c>
      <c r="AD67" t="str">
        <f>"New York"</f>
        <v>New York</v>
      </c>
      <c r="AE67" t="str">
        <f>"10018"</f>
        <v>10018</v>
      </c>
      <c r="AF67" t="s">
        <v>51</v>
      </c>
      <c r="AG67" t="str">
        <f>""</f>
        <v/>
      </c>
      <c r="AH67" t="str">
        <f>"Consulting Engineers"</f>
        <v>Consulting Engineers</v>
      </c>
      <c r="AI67" t="str">
        <f>"Is your firm a Certified MBE?|Has your firm worked on DASNY projects as a prime or sub-contractor?"</f>
        <v>Is your firm a Certified MBE?|Has your firm worked on DASNY projects as a prime or sub-contractor?</v>
      </c>
      <c r="AJ67" t="str">
        <f>""</f>
        <v/>
      </c>
    </row>
    <row r="68" spans="1:36" x14ac:dyDescent="0.35">
      <c r="A68">
        <v>66</v>
      </c>
      <c r="B68" t="str">
        <f t="shared" si="5"/>
        <v>203620166296150098</v>
      </c>
      <c r="C68">
        <v>1720138377</v>
      </c>
      <c r="D68" t="s">
        <v>37</v>
      </c>
      <c r="E68" t="s">
        <v>38</v>
      </c>
      <c r="F68" t="s">
        <v>39</v>
      </c>
      <c r="G68" t="s">
        <v>40</v>
      </c>
      <c r="H68" t="s">
        <v>41</v>
      </c>
      <c r="I68" t="s">
        <v>42</v>
      </c>
      <c r="J68" t="s">
        <v>43</v>
      </c>
      <c r="K68" t="s">
        <v>180</v>
      </c>
      <c r="L68" t="s">
        <v>327</v>
      </c>
      <c r="M68" t="s">
        <v>328</v>
      </c>
      <c r="N68" t="s">
        <v>47</v>
      </c>
      <c r="O68" t="s">
        <v>48</v>
      </c>
      <c r="P68" t="s">
        <v>48</v>
      </c>
      <c r="Q68" t="s">
        <v>329</v>
      </c>
      <c r="R68" t="s">
        <v>37</v>
      </c>
      <c r="S68" t="s">
        <v>330</v>
      </c>
      <c r="T68">
        <v>102509</v>
      </c>
      <c r="U68">
        <v>0</v>
      </c>
      <c r="V68" t="s">
        <v>48</v>
      </c>
      <c r="W68" t="str">
        <f>"Project Manager"</f>
        <v>Project Manager</v>
      </c>
      <c r="X68" s="1">
        <v>36161</v>
      </c>
      <c r="Y68" t="str">
        <f>"Pro Con Group, Inc"</f>
        <v>Pro Con Group, Inc</v>
      </c>
      <c r="Z68" t="str">
        <f>"1-7189668080"</f>
        <v>1-7189668080</v>
      </c>
      <c r="AA68" t="str">
        <f>"520 Industrial Loop"</f>
        <v>520 Industrial Loop</v>
      </c>
      <c r="AB68" t="str">
        <f>"520 Industrial Loop, Staten Island, NY"</f>
        <v>520 Industrial Loop, Staten Island, NY</v>
      </c>
      <c r="AC68" t="str">
        <f>"Staten Island"</f>
        <v>Staten Island</v>
      </c>
      <c r="AD68" t="str">
        <f>"NY"</f>
        <v>NY</v>
      </c>
      <c r="AE68" t="str">
        <f>"10309"</f>
        <v>10309</v>
      </c>
      <c r="AF68" t="s">
        <v>51</v>
      </c>
      <c r="AG68" t="str">
        <f>"$30,000,000.00"</f>
        <v>$30,000,000.00</v>
      </c>
      <c r="AH68" t="str">
        <f>"General Contractor"</f>
        <v>General Contractor</v>
      </c>
      <c r="AI68" t="str">
        <f>"Is your firm currently a DASNY JOC Contractor?|Has your firm worked on DASNY projects as a prime or sub-contractor?|Has your firm bid on DASNY JOC contract soliciations?"</f>
        <v>Is your firm currently a DASNY JOC Contractor?|Has your firm worked on DASNY projects as a prime or sub-contractor?|Has your firm bid on DASNY JOC contract soliciations?</v>
      </c>
      <c r="AJ68" t="str">
        <f>"$15,000,000.00"</f>
        <v>$15,000,000.00</v>
      </c>
    </row>
    <row r="69" spans="1:36" x14ac:dyDescent="0.35">
      <c r="A69">
        <v>67</v>
      </c>
      <c r="B69" t="str">
        <f t="shared" si="5"/>
        <v>203620166296150098</v>
      </c>
      <c r="C69">
        <v>1720138377</v>
      </c>
      <c r="D69" t="s">
        <v>37</v>
      </c>
      <c r="E69" t="s">
        <v>38</v>
      </c>
      <c r="F69" t="s">
        <v>39</v>
      </c>
      <c r="G69" t="s">
        <v>40</v>
      </c>
      <c r="H69" t="s">
        <v>41</v>
      </c>
      <c r="I69" t="s">
        <v>42</v>
      </c>
      <c r="J69" t="s">
        <v>43</v>
      </c>
      <c r="K69" t="s">
        <v>331</v>
      </c>
      <c r="L69" t="s">
        <v>332</v>
      </c>
      <c r="M69" t="s">
        <v>333</v>
      </c>
      <c r="N69" t="s">
        <v>47</v>
      </c>
      <c r="O69" t="s">
        <v>48</v>
      </c>
      <c r="P69" t="s">
        <v>48</v>
      </c>
      <c r="Q69" t="s">
        <v>56</v>
      </c>
      <c r="R69" t="s">
        <v>37</v>
      </c>
      <c r="S69" t="s">
        <v>334</v>
      </c>
      <c r="T69">
        <v>678762</v>
      </c>
      <c r="U69">
        <v>0</v>
      </c>
      <c r="V69" t="s">
        <v>47</v>
      </c>
      <c r="W69" t="str">
        <f>"President"</f>
        <v>President</v>
      </c>
      <c r="X69" s="1">
        <v>36161</v>
      </c>
      <c r="Y69" t="str">
        <f>"Tweedie Construction Services, Inc"</f>
        <v>Tweedie Construction Services, Inc</v>
      </c>
      <c r="Z69" t="str">
        <f>"1-6078654916"</f>
        <v>1-6078654916</v>
      </c>
      <c r="AA69" t="str">
        <f>"90 Crystal Creek Rd"</f>
        <v>90 Crystal Creek Rd</v>
      </c>
      <c r="AB69" t="str">
        <f>"90 Crystal Creek rd"</f>
        <v>90 Crystal Creek rd</v>
      </c>
      <c r="AC69" t="str">
        <f>"walton"</f>
        <v>walton</v>
      </c>
      <c r="AD69" t="str">
        <f>"New York"</f>
        <v>New York</v>
      </c>
      <c r="AE69" t="str">
        <f>"13856"</f>
        <v>13856</v>
      </c>
      <c r="AF69" t="s">
        <v>51</v>
      </c>
      <c r="AG69" t="str">
        <f>""</f>
        <v/>
      </c>
      <c r="AH69" t="str">
        <f>"General Construction"</f>
        <v>General Construction</v>
      </c>
      <c r="AI69" t="str">
        <f>"Trade contract you are interested in bidding (use semi-colon to seperate each listing)"</f>
        <v>Trade contract you are interested in bidding (use semi-colon to seperate each listing)</v>
      </c>
      <c r="AJ69" t="str">
        <f>""</f>
        <v/>
      </c>
    </row>
    <row r="70" spans="1:36" x14ac:dyDescent="0.35">
      <c r="A70">
        <v>68</v>
      </c>
      <c r="B70" t="str">
        <f t="shared" si="5"/>
        <v>203620166296150098</v>
      </c>
      <c r="C70">
        <v>1720138377</v>
      </c>
      <c r="D70" t="s">
        <v>37</v>
      </c>
      <c r="E70" t="s">
        <v>38</v>
      </c>
      <c r="F70" t="s">
        <v>39</v>
      </c>
      <c r="G70" t="s">
        <v>40</v>
      </c>
      <c r="H70" t="s">
        <v>41</v>
      </c>
      <c r="I70" t="s">
        <v>42</v>
      </c>
      <c r="J70" t="s">
        <v>43</v>
      </c>
      <c r="K70" t="s">
        <v>335</v>
      </c>
      <c r="L70" t="s">
        <v>336</v>
      </c>
      <c r="M70" t="s">
        <v>337</v>
      </c>
      <c r="N70" t="s">
        <v>47</v>
      </c>
      <c r="O70" t="s">
        <v>48</v>
      </c>
      <c r="P70" t="s">
        <v>48</v>
      </c>
      <c r="Q70" t="s">
        <v>104</v>
      </c>
      <c r="R70" t="s">
        <v>37</v>
      </c>
      <c r="S70" t="s">
        <v>338</v>
      </c>
      <c r="T70">
        <v>763701</v>
      </c>
      <c r="U70">
        <v>0</v>
      </c>
      <c r="V70" t="s">
        <v>48</v>
      </c>
      <c r="W70" t="str">
        <f>"Managing Director"</f>
        <v>Managing Director</v>
      </c>
      <c r="X70" s="1">
        <v>36161</v>
      </c>
      <c r="Y70" t="str">
        <f>"BCG"</f>
        <v>BCG</v>
      </c>
      <c r="Z70" t="str">
        <f>"1-2128374550"</f>
        <v>1-2128374550</v>
      </c>
      <c r="AA70" t="str">
        <f>"140"</f>
        <v>140</v>
      </c>
      <c r="AB70" t="str">
        <f>"Broadway"</f>
        <v>Broadway</v>
      </c>
      <c r="AC70" t="str">
        <f>"New York"</f>
        <v>New York</v>
      </c>
      <c r="AD70" t="str">
        <f>"NY"</f>
        <v>NY</v>
      </c>
      <c r="AE70" t="str">
        <f>"10005"</f>
        <v>10005</v>
      </c>
      <c r="AF70" t="s">
        <v>51</v>
      </c>
      <c r="AG70" t="str">
        <f>"10,000,000"</f>
        <v>10,000,000</v>
      </c>
      <c r="AH70" t="str">
        <f>"General Contractor/construction Managor"</f>
        <v>General Contractor/construction Managor</v>
      </c>
      <c r="AI70" t="str">
        <f>"Is your firm a Certified MBE?"</f>
        <v>Is your firm a Certified MBE?</v>
      </c>
      <c r="AJ70" t="str">
        <f>"50,000,000"</f>
        <v>50,000,000</v>
      </c>
    </row>
    <row r="71" spans="1:36" x14ac:dyDescent="0.35">
      <c r="A71">
        <v>69</v>
      </c>
      <c r="B71" t="str">
        <f t="shared" si="5"/>
        <v>203620166296150098</v>
      </c>
      <c r="C71">
        <v>1720138377</v>
      </c>
      <c r="D71" t="s">
        <v>37</v>
      </c>
      <c r="E71" t="s">
        <v>38</v>
      </c>
      <c r="F71" t="s">
        <v>39</v>
      </c>
      <c r="G71" t="s">
        <v>40</v>
      </c>
      <c r="H71" t="s">
        <v>41</v>
      </c>
      <c r="I71" t="s">
        <v>42</v>
      </c>
      <c r="J71" t="s">
        <v>43</v>
      </c>
      <c r="K71" t="s">
        <v>339</v>
      </c>
      <c r="L71" t="s">
        <v>340</v>
      </c>
      <c r="M71" t="s">
        <v>341</v>
      </c>
      <c r="N71" t="s">
        <v>47</v>
      </c>
      <c r="O71" t="s">
        <v>48</v>
      </c>
      <c r="P71" t="s">
        <v>48</v>
      </c>
      <c r="Q71" t="s">
        <v>66</v>
      </c>
      <c r="R71" t="s">
        <v>37</v>
      </c>
      <c r="S71" t="s">
        <v>342</v>
      </c>
      <c r="T71">
        <v>627764</v>
      </c>
      <c r="U71">
        <v>0</v>
      </c>
      <c r="V71" t="s">
        <v>48</v>
      </c>
      <c r="W71" t="str">
        <f>"Construction Account Manager"</f>
        <v>Construction Account Manager</v>
      </c>
      <c r="X71" t="s">
        <v>131</v>
      </c>
      <c r="Y71" t="str">
        <f>"Gordian"</f>
        <v>Gordian</v>
      </c>
      <c r="Z71" t="str">
        <f>"1-860-204-1977"</f>
        <v>1-860-204-1977</v>
      </c>
      <c r="AA71" t="str">
        <f>"30 Patewood Drive"</f>
        <v>30 Patewood Drive</v>
      </c>
      <c r="AB71" t="str">
        <f>"Building 2 Suite 350"</f>
        <v>Building 2 Suite 350</v>
      </c>
      <c r="AC71" t="str">
        <f>"Greenville"</f>
        <v>Greenville</v>
      </c>
      <c r="AD71" t="str">
        <f>"SC"</f>
        <v>SC</v>
      </c>
      <c r="AE71" t="str">
        <f>"29615"</f>
        <v>29615</v>
      </c>
      <c r="AF71" t="s">
        <v>51</v>
      </c>
      <c r="AG71" t="str">
        <f>""</f>
        <v/>
      </c>
      <c r="AH71" t="str">
        <f>"Construction"</f>
        <v>Construction</v>
      </c>
      <c r="AI71" t="str">
        <f>"Has your firm bid on DASNY JOC contract soliciations?"</f>
        <v>Has your firm bid on DASNY JOC contract soliciations?</v>
      </c>
      <c r="AJ71" t="str">
        <f>""</f>
        <v/>
      </c>
    </row>
    <row r="72" spans="1:36" x14ac:dyDescent="0.35">
      <c r="A72">
        <v>70</v>
      </c>
      <c r="B72" t="str">
        <f t="shared" si="5"/>
        <v>203620166296150098</v>
      </c>
      <c r="C72">
        <v>1720138377</v>
      </c>
      <c r="D72" t="s">
        <v>37</v>
      </c>
      <c r="E72" t="s">
        <v>38</v>
      </c>
      <c r="F72" t="s">
        <v>39</v>
      </c>
      <c r="G72" t="s">
        <v>40</v>
      </c>
      <c r="H72" t="s">
        <v>41</v>
      </c>
      <c r="I72" t="s">
        <v>42</v>
      </c>
      <c r="J72" t="s">
        <v>43</v>
      </c>
      <c r="K72" t="s">
        <v>343</v>
      </c>
      <c r="L72" t="s">
        <v>344</v>
      </c>
      <c r="M72" t="s">
        <v>345</v>
      </c>
      <c r="N72" t="s">
        <v>47</v>
      </c>
      <c r="O72" t="s">
        <v>48</v>
      </c>
      <c r="P72" t="s">
        <v>48</v>
      </c>
      <c r="Q72" t="s">
        <v>346</v>
      </c>
      <c r="R72" t="s">
        <v>37</v>
      </c>
      <c r="S72" t="s">
        <v>347</v>
      </c>
      <c r="T72">
        <v>575309</v>
      </c>
      <c r="U72">
        <v>0</v>
      </c>
      <c r="V72" t="s">
        <v>47</v>
      </c>
      <c r="W72" t="str">
        <f>"owner"</f>
        <v>owner</v>
      </c>
      <c r="X72" s="1">
        <v>36161</v>
      </c>
      <c r="Y72" t="str">
        <f>"G-SQUARED ELECTRIC, LLC"</f>
        <v>G-SQUARED ELECTRIC, LLC</v>
      </c>
      <c r="Z72" t="str">
        <f>"1-16312922120"</f>
        <v>1-16312922120</v>
      </c>
      <c r="AA72" t="str">
        <f>"G-SQUARED ELECTRIC, LLC"</f>
        <v>G-SQUARED ELECTRIC, LLC</v>
      </c>
      <c r="AB72" t="str">
        <f>"111 Smithtown Bypass Ste 202"</f>
        <v>111 Smithtown Bypass Ste 202</v>
      </c>
      <c r="AC72" t="str">
        <f>"Hauppauge"</f>
        <v>Hauppauge</v>
      </c>
      <c r="AD72" t="str">
        <f>"NY"</f>
        <v>NY</v>
      </c>
      <c r="AE72" t="str">
        <f>"11788"</f>
        <v>11788</v>
      </c>
      <c r="AF72" t="s">
        <v>51</v>
      </c>
      <c r="AG72" t="str">
        <f>"5000000"</f>
        <v>5000000</v>
      </c>
      <c r="AH72" t="str">
        <f>"electric"</f>
        <v>electric</v>
      </c>
      <c r="AI72" t="str">
        <f>"Is your firm a NYS Certified WBE?"</f>
        <v>Is your firm a NYS Certified WBE?</v>
      </c>
      <c r="AJ72" t="str">
        <f>"15000000"</f>
        <v>15000000</v>
      </c>
    </row>
    <row r="73" spans="1:36" x14ac:dyDescent="0.35">
      <c r="A73">
        <v>71</v>
      </c>
      <c r="B73" t="str">
        <f t="shared" si="5"/>
        <v>203620166296150098</v>
      </c>
      <c r="C73">
        <v>1720138377</v>
      </c>
      <c r="D73" t="s">
        <v>37</v>
      </c>
      <c r="E73" t="s">
        <v>38</v>
      </c>
      <c r="F73" t="s">
        <v>39</v>
      </c>
      <c r="G73" t="s">
        <v>40</v>
      </c>
      <c r="H73" t="s">
        <v>41</v>
      </c>
      <c r="I73" t="s">
        <v>42</v>
      </c>
      <c r="J73" t="s">
        <v>43</v>
      </c>
      <c r="K73" t="s">
        <v>132</v>
      </c>
      <c r="L73" t="s">
        <v>133</v>
      </c>
      <c r="M73" t="s">
        <v>134</v>
      </c>
      <c r="N73" t="s">
        <v>47</v>
      </c>
      <c r="O73" t="s">
        <v>48</v>
      </c>
      <c r="P73" t="s">
        <v>48</v>
      </c>
      <c r="Q73" t="s">
        <v>84</v>
      </c>
      <c r="R73" t="s">
        <v>37</v>
      </c>
      <c r="S73" t="s">
        <v>135</v>
      </c>
      <c r="T73">
        <v>437845</v>
      </c>
      <c r="U73">
        <v>0</v>
      </c>
      <c r="V73" t="s">
        <v>48</v>
      </c>
      <c r="W73" t="str">
        <f>"President"</f>
        <v>President</v>
      </c>
      <c r="X73" s="1">
        <v>36161</v>
      </c>
      <c r="Y73" t="str">
        <f>"Gridspan Corporation"</f>
        <v>Gridspan Corporation</v>
      </c>
      <c r="Z73" t="str">
        <f>"1-732-729-9950"</f>
        <v>1-732-729-9950</v>
      </c>
      <c r="AA73" t="str">
        <f>"3"</f>
        <v>3</v>
      </c>
      <c r="AB73" t="str">
        <f>"Monmouth Dr"</f>
        <v>Monmouth Dr</v>
      </c>
      <c r="AC73" t="str">
        <f>"Monmouth JN"</f>
        <v>Monmouth JN</v>
      </c>
      <c r="AD73" t="str">
        <f>"NJ"</f>
        <v>NJ</v>
      </c>
      <c r="AE73" t="str">
        <f>"08852"</f>
        <v>08852</v>
      </c>
      <c r="AF73" t="s">
        <v>51</v>
      </c>
      <c r="AG73" t="str">
        <f>""</f>
        <v/>
      </c>
      <c r="AH73" t="str">
        <f>"GC"</f>
        <v>GC</v>
      </c>
      <c r="AI73" t="str">
        <f>"Is your firm a Certified MBE?"</f>
        <v>Is your firm a Certified MBE?</v>
      </c>
      <c r="AJ73" t="str">
        <f>""</f>
        <v/>
      </c>
    </row>
    <row r="74" spans="1:36" x14ac:dyDescent="0.35">
      <c r="A74">
        <v>72</v>
      </c>
      <c r="B74" t="str">
        <f t="shared" si="5"/>
        <v>203620166296150098</v>
      </c>
      <c r="C74">
        <v>1720138377</v>
      </c>
      <c r="D74" t="s">
        <v>37</v>
      </c>
      <c r="E74" t="s">
        <v>38</v>
      </c>
      <c r="F74" t="s">
        <v>39</v>
      </c>
      <c r="G74" t="s">
        <v>40</v>
      </c>
      <c r="H74" t="s">
        <v>41</v>
      </c>
      <c r="I74" t="s">
        <v>42</v>
      </c>
      <c r="J74" t="s">
        <v>43</v>
      </c>
      <c r="K74" t="s">
        <v>348</v>
      </c>
      <c r="L74" t="s">
        <v>349</v>
      </c>
      <c r="M74" t="s">
        <v>350</v>
      </c>
      <c r="N74" t="s">
        <v>47</v>
      </c>
      <c r="O74" t="s">
        <v>48</v>
      </c>
      <c r="P74" t="s">
        <v>48</v>
      </c>
      <c r="Q74" t="s">
        <v>242</v>
      </c>
      <c r="R74" t="s">
        <v>37</v>
      </c>
      <c r="S74" t="s">
        <v>351</v>
      </c>
      <c r="T74">
        <v>569784</v>
      </c>
      <c r="U74">
        <v>0</v>
      </c>
      <c r="V74" t="s">
        <v>48</v>
      </c>
      <c r="W74" t="str">
        <f>"director of operations"</f>
        <v>director of operations</v>
      </c>
      <c r="X74" s="1">
        <v>36161</v>
      </c>
      <c r="Y74" t="str">
        <f>"CH.CO.INC"</f>
        <v>CH.CO.INC</v>
      </c>
      <c r="Z74" t="str">
        <f>"1-9172976546"</f>
        <v>1-9172976546</v>
      </c>
      <c r="AA74" t="str">
        <f>"1437"</f>
        <v>1437</v>
      </c>
      <c r="AB74" t="str">
        <f>"30th road"</f>
        <v>30th road</v>
      </c>
      <c r="AC74" t="str">
        <f>"astoria"</f>
        <v>astoria</v>
      </c>
      <c r="AD74" t="str">
        <f>"NEW YORK"</f>
        <v>NEW YORK</v>
      </c>
      <c r="AE74" t="str">
        <f>"11102"</f>
        <v>11102</v>
      </c>
      <c r="AF74" t="s">
        <v>51</v>
      </c>
      <c r="AG74" t="str">
        <f>"500000"</f>
        <v>500000</v>
      </c>
      <c r="AH74" t="str">
        <f>"Masonry"</f>
        <v>Masonry</v>
      </c>
      <c r="AI74" t="str">
        <f>"Is your firm a Certified MBE?"</f>
        <v>Is your firm a Certified MBE?</v>
      </c>
      <c r="AJ74" t="str">
        <f>"500000"</f>
        <v>500000</v>
      </c>
    </row>
    <row r="75" spans="1:36" x14ac:dyDescent="0.35">
      <c r="A75">
        <v>73</v>
      </c>
      <c r="B75" t="str">
        <f t="shared" si="5"/>
        <v>203620166296150098</v>
      </c>
      <c r="C75">
        <v>1720138377</v>
      </c>
      <c r="D75" t="s">
        <v>37</v>
      </c>
      <c r="E75" t="s">
        <v>38</v>
      </c>
      <c r="F75" t="s">
        <v>39</v>
      </c>
      <c r="G75" t="s">
        <v>40</v>
      </c>
      <c r="H75" t="s">
        <v>41</v>
      </c>
      <c r="I75" t="s">
        <v>42</v>
      </c>
      <c r="J75" t="s">
        <v>43</v>
      </c>
      <c r="K75" t="s">
        <v>352</v>
      </c>
      <c r="L75" t="s">
        <v>353</v>
      </c>
      <c r="M75" t="s">
        <v>354</v>
      </c>
      <c r="N75" t="s">
        <v>47</v>
      </c>
      <c r="O75" t="s">
        <v>47</v>
      </c>
      <c r="P75" t="s">
        <v>48</v>
      </c>
      <c r="Q75" t="s">
        <v>355</v>
      </c>
      <c r="R75" t="s">
        <v>37</v>
      </c>
      <c r="T75">
        <v>0</v>
      </c>
      <c r="V75" t="s">
        <v>47</v>
      </c>
      <c r="W75" t="str">
        <f>"  "</f>
        <v xml:space="preserve">  </v>
      </c>
      <c r="Y75" t="str">
        <f>"  "</f>
        <v xml:space="preserve">  </v>
      </c>
      <c r="Z75" t="str">
        <f>"1-"</f>
        <v>1-</v>
      </c>
      <c r="AA75" t="str">
        <f>"  "</f>
        <v xml:space="preserve">  </v>
      </c>
      <c r="AB75" t="str">
        <f>"  "</f>
        <v xml:space="preserve">  </v>
      </c>
      <c r="AC75" t="str">
        <f>"  "</f>
        <v xml:space="preserve">  </v>
      </c>
      <c r="AD75" t="str">
        <f>"  "</f>
        <v xml:space="preserve">  </v>
      </c>
      <c r="AE75" t="str">
        <f>"  "</f>
        <v xml:space="preserve">  </v>
      </c>
      <c r="AG75" t="str">
        <f>""</f>
        <v/>
      </c>
      <c r="AH75" t="str">
        <f>""</f>
        <v/>
      </c>
      <c r="AI75" t="str">
        <f>""</f>
        <v/>
      </c>
      <c r="AJ75" t="str">
        <f>""</f>
        <v/>
      </c>
    </row>
    <row r="76" spans="1:36" x14ac:dyDescent="0.35">
      <c r="A76">
        <v>74</v>
      </c>
      <c r="B76" t="str">
        <f t="shared" si="5"/>
        <v>203620166296150098</v>
      </c>
      <c r="C76">
        <v>1720138377</v>
      </c>
      <c r="D76" t="s">
        <v>37</v>
      </c>
      <c r="E76" t="s">
        <v>38</v>
      </c>
      <c r="F76" t="s">
        <v>39</v>
      </c>
      <c r="G76" t="s">
        <v>40</v>
      </c>
      <c r="H76" t="s">
        <v>41</v>
      </c>
      <c r="I76" t="s">
        <v>42</v>
      </c>
      <c r="J76" t="s">
        <v>43</v>
      </c>
      <c r="K76" t="s">
        <v>356</v>
      </c>
      <c r="L76" t="s">
        <v>357</v>
      </c>
      <c r="M76" t="s">
        <v>358</v>
      </c>
      <c r="N76" t="s">
        <v>47</v>
      </c>
      <c r="O76" t="s">
        <v>48</v>
      </c>
      <c r="P76" t="s">
        <v>48</v>
      </c>
      <c r="Q76" t="s">
        <v>359</v>
      </c>
      <c r="R76" t="s">
        <v>37</v>
      </c>
      <c r="S76" t="s">
        <v>360</v>
      </c>
      <c r="T76">
        <v>646510</v>
      </c>
      <c r="U76">
        <v>0</v>
      </c>
      <c r="V76" t="s">
        <v>47</v>
      </c>
      <c r="W76" t="str">
        <f>"SR. DIR. OF COMMUNICATIONS"</f>
        <v>SR. DIR. OF COMMUNICATIONS</v>
      </c>
      <c r="X76" s="1">
        <v>36161</v>
      </c>
      <c r="Y76" t="str">
        <f>"DASNY"</f>
        <v>DASNY</v>
      </c>
      <c r="Z76" t="str">
        <f>"1-5188944007"</f>
        <v>1-5188944007</v>
      </c>
      <c r="AA76" t="str">
        <f>"515 BROADWAY"</f>
        <v>515 BROADWAY</v>
      </c>
      <c r="AB76" t="str">
        <f>"6TH FLOOR"</f>
        <v>6TH FLOOR</v>
      </c>
      <c r="AC76" t="str">
        <f>"ALBANY"</f>
        <v>ALBANY</v>
      </c>
      <c r="AD76" t="str">
        <f>"NY"</f>
        <v>NY</v>
      </c>
      <c r="AE76" t="str">
        <f>"12207"</f>
        <v>12207</v>
      </c>
      <c r="AF76" t="s">
        <v>51</v>
      </c>
      <c r="AG76" t="str">
        <f>""</f>
        <v/>
      </c>
      <c r="AH76" t="str">
        <f>"COMMUNICATIONS"</f>
        <v>COMMUNICATIONS</v>
      </c>
      <c r="AI76" t="str">
        <f>"Has your firm bid on DASNY JOC contract soliciations?"</f>
        <v>Has your firm bid on DASNY JOC contract soliciations?</v>
      </c>
      <c r="AJ76" t="str">
        <f>""</f>
        <v/>
      </c>
    </row>
    <row r="77" spans="1:36" x14ac:dyDescent="0.35">
      <c r="A77">
        <v>75</v>
      </c>
      <c r="B77" t="str">
        <f t="shared" si="5"/>
        <v>203620166296150098</v>
      </c>
      <c r="C77">
        <v>1720138377</v>
      </c>
      <c r="D77" t="s">
        <v>37</v>
      </c>
      <c r="E77" t="s">
        <v>38</v>
      </c>
      <c r="F77" t="s">
        <v>39</v>
      </c>
      <c r="G77" t="s">
        <v>40</v>
      </c>
      <c r="H77" t="s">
        <v>41</v>
      </c>
      <c r="I77" t="s">
        <v>42</v>
      </c>
      <c r="J77" t="s">
        <v>43</v>
      </c>
      <c r="K77" t="s">
        <v>361</v>
      </c>
      <c r="L77" t="s">
        <v>294</v>
      </c>
      <c r="M77" t="s">
        <v>362</v>
      </c>
      <c r="N77" t="s">
        <v>47</v>
      </c>
      <c r="O77" t="s">
        <v>48</v>
      </c>
      <c r="P77" t="s">
        <v>48</v>
      </c>
      <c r="Q77" t="s">
        <v>143</v>
      </c>
      <c r="R77" t="s">
        <v>37</v>
      </c>
      <c r="S77" t="s">
        <v>363</v>
      </c>
      <c r="T77">
        <v>211214</v>
      </c>
      <c r="U77">
        <v>0</v>
      </c>
      <c r="V77" t="s">
        <v>48</v>
      </c>
      <c r="W77" t="str">
        <f>"Junior Project Manager"</f>
        <v>Junior Project Manager</v>
      </c>
      <c r="X77" t="s">
        <v>179</v>
      </c>
      <c r="Y77" t="str">
        <f>"EMCOR Services Betlem"</f>
        <v>EMCOR Services Betlem</v>
      </c>
      <c r="Z77" t="str">
        <f>"1-15854900468"</f>
        <v>1-15854900468</v>
      </c>
      <c r="AA77" t="str">
        <f>"704 Clinton Avenue"</f>
        <v>704 Clinton Avenue</v>
      </c>
      <c r="AB77" t="str">
        <f>"South"</f>
        <v>South</v>
      </c>
      <c r="AC77" t="str">
        <f>"Rochester"</f>
        <v>Rochester</v>
      </c>
      <c r="AD77" t="str">
        <f>"NY"</f>
        <v>NY</v>
      </c>
      <c r="AE77" t="str">
        <f>"14620"</f>
        <v>14620</v>
      </c>
      <c r="AF77" t="s">
        <v>51</v>
      </c>
      <c r="AG77" t="str">
        <f>""</f>
        <v/>
      </c>
      <c r="AH77" t="str">
        <f>"HVAC, Plumbing, Refrigeration"</f>
        <v>HVAC, Plumbing, Refrigeration</v>
      </c>
      <c r="AI77" t="str">
        <f>"Trade contract you are interested in bidding (use semi-colon to seperate each listing)"</f>
        <v>Trade contract you are interested in bidding (use semi-colon to seperate each listing)</v>
      </c>
      <c r="AJ77" t="str">
        <f>""</f>
        <v/>
      </c>
    </row>
    <row r="78" spans="1:36" x14ac:dyDescent="0.35">
      <c r="A78">
        <v>76</v>
      </c>
      <c r="B78" t="str">
        <f t="shared" si="5"/>
        <v>203620166296150098</v>
      </c>
      <c r="C78">
        <v>1720138377</v>
      </c>
      <c r="D78" t="s">
        <v>37</v>
      </c>
      <c r="E78" t="s">
        <v>38</v>
      </c>
      <c r="F78" t="s">
        <v>39</v>
      </c>
      <c r="G78" t="s">
        <v>40</v>
      </c>
      <c r="H78" t="s">
        <v>41</v>
      </c>
      <c r="I78" t="s">
        <v>42</v>
      </c>
      <c r="J78" t="s">
        <v>43</v>
      </c>
      <c r="K78" t="s">
        <v>364</v>
      </c>
      <c r="L78" t="s">
        <v>365</v>
      </c>
      <c r="M78" t="s">
        <v>366</v>
      </c>
      <c r="N78" t="s">
        <v>47</v>
      </c>
      <c r="O78" t="s">
        <v>48</v>
      </c>
      <c r="P78" t="s">
        <v>48</v>
      </c>
      <c r="Q78" t="s">
        <v>367</v>
      </c>
      <c r="R78" t="s">
        <v>37</v>
      </c>
      <c r="S78" t="s">
        <v>368</v>
      </c>
      <c r="T78">
        <v>826530</v>
      </c>
      <c r="U78">
        <v>0</v>
      </c>
      <c r="V78" t="s">
        <v>47</v>
      </c>
      <c r="W78" t="str">
        <f>"OPG Program Analyst JOC Downstate"</f>
        <v>OPG Program Analyst JOC Downstate</v>
      </c>
      <c r="X78" s="1">
        <v>36161</v>
      </c>
      <c r="Y78" t="str">
        <f>"DASNY"</f>
        <v>DASNY</v>
      </c>
      <c r="Z78" t="str">
        <f>"1-518-727-9118"</f>
        <v>1-518-727-9118</v>
      </c>
      <c r="AA78" t="str">
        <f>"28 Liberty St"</f>
        <v>28 Liberty St</v>
      </c>
      <c r="AB78" t="str">
        <f>"New York, NY"</f>
        <v>New York, NY</v>
      </c>
      <c r="AC78" t="str">
        <f>"New York"</f>
        <v>New York</v>
      </c>
      <c r="AD78" t="str">
        <f>"10005"</f>
        <v>10005</v>
      </c>
      <c r="AE78" t="str">
        <f>"10005"</f>
        <v>10005</v>
      </c>
      <c r="AF78" t="s">
        <v>51</v>
      </c>
      <c r="AG78" t="str">
        <f>""</f>
        <v/>
      </c>
      <c r="AH78" t="str">
        <f>"DASNY OPG  Analyst"</f>
        <v>DASNY OPG  Analyst</v>
      </c>
      <c r="AI78" t="str">
        <f>"Is your firm currently a DASNY JOC Contractor?"</f>
        <v>Is your firm currently a DASNY JOC Contractor?</v>
      </c>
      <c r="AJ78" t="str">
        <f>""</f>
        <v/>
      </c>
    </row>
    <row r="79" spans="1:36" x14ac:dyDescent="0.35">
      <c r="A79">
        <v>77</v>
      </c>
      <c r="B79" t="str">
        <f t="shared" si="5"/>
        <v>203620166296150098</v>
      </c>
      <c r="C79">
        <v>1720138377</v>
      </c>
      <c r="D79" t="s">
        <v>37</v>
      </c>
      <c r="E79" t="s">
        <v>38</v>
      </c>
      <c r="F79" t="s">
        <v>39</v>
      </c>
      <c r="G79" t="s">
        <v>40</v>
      </c>
      <c r="H79" t="s">
        <v>41</v>
      </c>
      <c r="I79" t="s">
        <v>42</v>
      </c>
      <c r="J79" t="s">
        <v>43</v>
      </c>
      <c r="K79" t="s">
        <v>369</v>
      </c>
      <c r="L79" t="s">
        <v>370</v>
      </c>
      <c r="M79" t="s">
        <v>371</v>
      </c>
      <c r="N79" t="s">
        <v>47</v>
      </c>
      <c r="O79" t="s">
        <v>48</v>
      </c>
      <c r="P79" t="s">
        <v>48</v>
      </c>
      <c r="Q79" t="s">
        <v>173</v>
      </c>
      <c r="R79" t="s">
        <v>37</v>
      </c>
      <c r="S79" t="s">
        <v>372</v>
      </c>
      <c r="T79">
        <v>114581</v>
      </c>
      <c r="U79">
        <v>0</v>
      </c>
      <c r="V79" t="s">
        <v>48</v>
      </c>
      <c r="W79" t="str">
        <f>"Project Estimator"</f>
        <v>Project Estimator</v>
      </c>
      <c r="X79" s="1">
        <v>36161</v>
      </c>
      <c r="Y79" t="str">
        <f>"Iannelli Construction Co Inc."</f>
        <v>Iannelli Construction Co Inc.</v>
      </c>
      <c r="Z79" t="str">
        <f>"1-7188362000"</f>
        <v>1-7188362000</v>
      </c>
      <c r="AA79" t="str">
        <f>"9723"</f>
        <v>9723</v>
      </c>
      <c r="AB79" t="str">
        <f>"3rd ave"</f>
        <v>3rd ave</v>
      </c>
      <c r="AC79" t="str">
        <f>"Brooklyn"</f>
        <v>Brooklyn</v>
      </c>
      <c r="AD79" t="str">
        <f>"New York"</f>
        <v>New York</v>
      </c>
      <c r="AE79" t="str">
        <f>"11209"</f>
        <v>11209</v>
      </c>
      <c r="AF79" t="s">
        <v>51</v>
      </c>
      <c r="AG79" t="str">
        <f>""</f>
        <v/>
      </c>
      <c r="AH79" t="str">
        <f>"General Contractor"</f>
        <v>General Contractor</v>
      </c>
      <c r="AI79" t="str">
        <f>"Has your firm worked on DASNY projects as a prime or sub-contractor?"</f>
        <v>Has your firm worked on DASNY projects as a prime or sub-contractor?</v>
      </c>
      <c r="AJ79" t="str">
        <f>""</f>
        <v/>
      </c>
    </row>
    <row r="80" spans="1:36" x14ac:dyDescent="0.35">
      <c r="A80">
        <v>78</v>
      </c>
      <c r="B80" t="str">
        <f t="shared" si="5"/>
        <v>203620166296150098</v>
      </c>
      <c r="C80">
        <v>1720138377</v>
      </c>
      <c r="D80" t="s">
        <v>37</v>
      </c>
      <c r="E80" t="s">
        <v>38</v>
      </c>
      <c r="F80" t="s">
        <v>39</v>
      </c>
      <c r="G80" t="s">
        <v>40</v>
      </c>
      <c r="H80" t="s">
        <v>41</v>
      </c>
      <c r="I80" t="s">
        <v>42</v>
      </c>
      <c r="J80" t="s">
        <v>43</v>
      </c>
      <c r="K80" t="s">
        <v>373</v>
      </c>
      <c r="L80" t="s">
        <v>374</v>
      </c>
      <c r="M80" t="s">
        <v>375</v>
      </c>
      <c r="N80" t="s">
        <v>47</v>
      </c>
      <c r="O80" t="s">
        <v>48</v>
      </c>
      <c r="P80" t="s">
        <v>48</v>
      </c>
      <c r="Q80" t="s">
        <v>209</v>
      </c>
      <c r="R80" t="s">
        <v>37</v>
      </c>
      <c r="S80" t="s">
        <v>376</v>
      </c>
      <c r="T80">
        <v>143454</v>
      </c>
      <c r="U80">
        <v>0</v>
      </c>
      <c r="V80" t="s">
        <v>48</v>
      </c>
      <c r="W80" t="str">
        <f>"President/CEO"</f>
        <v>President/CEO</v>
      </c>
      <c r="X80" s="1">
        <v>36161</v>
      </c>
      <c r="Y80" t="str">
        <f>"BIG RAY Renovations BK LLC"</f>
        <v>BIG RAY Renovations BK LLC</v>
      </c>
      <c r="Z80" t="str">
        <f>"1-347 589-1951"</f>
        <v>1-347 589-1951</v>
      </c>
      <c r="AA80" t="str">
        <f>"1"</f>
        <v>1</v>
      </c>
      <c r="AB80" t="str">
        <f>"569 Maple Street"</f>
        <v>569 Maple Street</v>
      </c>
      <c r="AC80" t="str">
        <f>"Brooklyn"</f>
        <v>Brooklyn</v>
      </c>
      <c r="AD80" t="str">
        <f>"New York"</f>
        <v>New York</v>
      </c>
      <c r="AE80" t="str">
        <f>"11203"</f>
        <v>11203</v>
      </c>
      <c r="AF80" t="s">
        <v>51</v>
      </c>
      <c r="AG80" t="str">
        <f>""</f>
        <v/>
      </c>
      <c r="AH80" t="str">
        <f>"General Construiction"</f>
        <v>General Construiction</v>
      </c>
      <c r="AI80" t="str">
        <f>"Is your firm a NYS Certified SVDOB?|Trade contract you are interested in bidding (use semi-colon to seperate each listing)"</f>
        <v>Is your firm a NYS Certified SVDOB?|Trade contract you are interested in bidding (use semi-colon to seperate each listing)</v>
      </c>
      <c r="AJ80" t="str">
        <f>""</f>
        <v/>
      </c>
    </row>
    <row r="81" spans="1:36" x14ac:dyDescent="0.35">
      <c r="A81">
        <v>79</v>
      </c>
      <c r="B81" t="str">
        <f t="shared" si="5"/>
        <v>203620166296150098</v>
      </c>
      <c r="C81">
        <v>1720138377</v>
      </c>
      <c r="D81" t="s">
        <v>37</v>
      </c>
      <c r="E81" t="s">
        <v>38</v>
      </c>
      <c r="F81" t="s">
        <v>39</v>
      </c>
      <c r="G81" t="s">
        <v>40</v>
      </c>
      <c r="H81" t="s">
        <v>41</v>
      </c>
      <c r="I81" t="s">
        <v>42</v>
      </c>
      <c r="J81" t="s">
        <v>43</v>
      </c>
      <c r="K81" t="s">
        <v>377</v>
      </c>
      <c r="L81" t="s">
        <v>378</v>
      </c>
      <c r="M81" t="s">
        <v>379</v>
      </c>
      <c r="N81" t="s">
        <v>47</v>
      </c>
      <c r="O81" t="s">
        <v>48</v>
      </c>
      <c r="P81" t="s">
        <v>48</v>
      </c>
      <c r="Q81" t="s">
        <v>84</v>
      </c>
      <c r="R81" t="s">
        <v>37</v>
      </c>
      <c r="S81" t="s">
        <v>380</v>
      </c>
      <c r="T81">
        <v>362656</v>
      </c>
      <c r="U81">
        <v>0</v>
      </c>
      <c r="V81" t="s">
        <v>48</v>
      </c>
      <c r="W81" t="str">
        <f>"Estimator"</f>
        <v>Estimator</v>
      </c>
      <c r="X81" s="1">
        <v>36161</v>
      </c>
      <c r="Y81" t="str">
        <f>"Family Danz Mechanical"</f>
        <v>Family Danz Mechanical</v>
      </c>
      <c r="Z81" t="str">
        <f>"1-5184278685"</f>
        <v>1-5184278685</v>
      </c>
      <c r="AA81" t="str">
        <f>"40 pleasant street"</f>
        <v>40 pleasant street</v>
      </c>
      <c r="AB81" t="str">
        <f>"."</f>
        <v>.</v>
      </c>
      <c r="AC81" t="str">
        <f>"Albany"</f>
        <v>Albany</v>
      </c>
      <c r="AD81" t="str">
        <f>"New York"</f>
        <v>New York</v>
      </c>
      <c r="AE81" t="str">
        <f>"12207"</f>
        <v>12207</v>
      </c>
      <c r="AF81" t="s">
        <v>51</v>
      </c>
      <c r="AG81" t="str">
        <f>""</f>
        <v/>
      </c>
      <c r="AH81" t="str">
        <f>"HVAC"</f>
        <v>HVAC</v>
      </c>
      <c r="AI81" t="str">
        <f>"Has your firm worked on DASNY projects as a prime or sub-contractor?|Has your firm bid on DASNY JOC contract soliciations?"</f>
        <v>Has your firm worked on DASNY projects as a prime or sub-contractor?|Has your firm bid on DASNY JOC contract soliciations?</v>
      </c>
      <c r="AJ81" t="str">
        <f>""</f>
        <v/>
      </c>
    </row>
    <row r="82" spans="1:36" x14ac:dyDescent="0.35">
      <c r="A82">
        <v>80</v>
      </c>
      <c r="B82" t="str">
        <f t="shared" si="5"/>
        <v>203620166296150098</v>
      </c>
      <c r="C82">
        <v>1720138377</v>
      </c>
      <c r="D82" t="s">
        <v>37</v>
      </c>
      <c r="E82" t="s">
        <v>38</v>
      </c>
      <c r="F82" t="s">
        <v>39</v>
      </c>
      <c r="G82" t="s">
        <v>40</v>
      </c>
      <c r="H82" t="s">
        <v>41</v>
      </c>
      <c r="I82" t="s">
        <v>42</v>
      </c>
      <c r="J82" t="s">
        <v>43</v>
      </c>
      <c r="K82" t="s">
        <v>381</v>
      </c>
      <c r="L82" t="s">
        <v>382</v>
      </c>
      <c r="M82" t="s">
        <v>383</v>
      </c>
      <c r="N82" t="s">
        <v>47</v>
      </c>
      <c r="O82" t="s">
        <v>48</v>
      </c>
      <c r="P82" t="s">
        <v>48</v>
      </c>
      <c r="Q82" t="s">
        <v>115</v>
      </c>
      <c r="R82" t="s">
        <v>37</v>
      </c>
      <c r="S82" t="s">
        <v>384</v>
      </c>
      <c r="T82">
        <v>489761</v>
      </c>
      <c r="U82">
        <v>0</v>
      </c>
      <c r="V82" t="s">
        <v>48</v>
      </c>
      <c r="W82" t="str">
        <f>"Project Manager"</f>
        <v>Project Manager</v>
      </c>
      <c r="X82" s="1">
        <v>36161</v>
      </c>
      <c r="Y82" t="str">
        <f>"TriStar Plumbing &amp; Heating, Inc."</f>
        <v>TriStar Plumbing &amp; Heating, Inc.</v>
      </c>
      <c r="Z82" t="str">
        <f>"1-917-402-1380"</f>
        <v>1-917-402-1380</v>
      </c>
      <c r="AA82" t="str">
        <f>"2860 Richmond Terrace"</f>
        <v>2860 Richmond Terrace</v>
      </c>
      <c r="AB82" t="str">
        <f>"2860 Richmond Terrace"</f>
        <v>2860 Richmond Terrace</v>
      </c>
      <c r="AC82" t="str">
        <f>"Staten Island"</f>
        <v>Staten Island</v>
      </c>
      <c r="AD82" t="str">
        <f>"New York"</f>
        <v>New York</v>
      </c>
      <c r="AE82" t="str">
        <f>"10303"</f>
        <v>10303</v>
      </c>
      <c r="AF82" t="s">
        <v>51</v>
      </c>
      <c r="AG82" t="str">
        <f>"2,000,000"</f>
        <v>2,000,000</v>
      </c>
      <c r="AH82" t="str">
        <f>"Plumbing"</f>
        <v>Plumbing</v>
      </c>
      <c r="AI82" t="str">
        <f>"Trade contract you are interested in bidding (use semi-colon to seperate each listing)|Has your firm worked on DASNY projects as a prime or sub-contractor?"</f>
        <v>Trade contract you are interested in bidding (use semi-colon to seperate each listing)|Has your firm worked on DASNY projects as a prime or sub-contractor?</v>
      </c>
      <c r="AJ82" t="str">
        <f>"10,000,000"</f>
        <v>10,000,000</v>
      </c>
    </row>
    <row r="83" spans="1:36" x14ac:dyDescent="0.35">
      <c r="A83">
        <v>81</v>
      </c>
      <c r="B83" t="str">
        <f t="shared" si="5"/>
        <v>203620166296150098</v>
      </c>
      <c r="C83">
        <v>1720138377</v>
      </c>
      <c r="D83" t="s">
        <v>37</v>
      </c>
      <c r="E83" t="s">
        <v>38</v>
      </c>
      <c r="F83" t="s">
        <v>39</v>
      </c>
      <c r="G83" t="s">
        <v>40</v>
      </c>
      <c r="H83" t="s">
        <v>41</v>
      </c>
      <c r="I83" t="s">
        <v>42</v>
      </c>
      <c r="J83" t="s">
        <v>43</v>
      </c>
      <c r="K83" t="s">
        <v>385</v>
      </c>
      <c r="L83" t="s">
        <v>386</v>
      </c>
      <c r="M83" t="s">
        <v>387</v>
      </c>
      <c r="N83" t="s">
        <v>47</v>
      </c>
      <c r="O83" t="s">
        <v>48</v>
      </c>
      <c r="P83" t="s">
        <v>48</v>
      </c>
      <c r="Q83" t="s">
        <v>173</v>
      </c>
      <c r="R83" t="s">
        <v>37</v>
      </c>
      <c r="S83" t="s">
        <v>388</v>
      </c>
      <c r="T83">
        <v>163336</v>
      </c>
      <c r="U83">
        <v>0</v>
      </c>
      <c r="V83" t="s">
        <v>47</v>
      </c>
      <c r="W83" t="str">
        <f>"CFO"</f>
        <v>CFO</v>
      </c>
      <c r="X83" s="1">
        <v>36161</v>
      </c>
      <c r="Y83" t="str">
        <f>"red bolt"</f>
        <v>red bolt</v>
      </c>
      <c r="Z83" t="str">
        <f>"1-9293902785"</f>
        <v>1-9293902785</v>
      </c>
      <c r="AA83" t="str">
        <f>"1054 Bergen st"</f>
        <v>1054 Bergen st</v>
      </c>
      <c r="AB83" t="str">
        <f>"4D"</f>
        <v>4D</v>
      </c>
      <c r="AC83" t="str">
        <f>"Brooklyn"</f>
        <v>Brooklyn</v>
      </c>
      <c r="AD83" t="str">
        <f>"New York"</f>
        <v>New York</v>
      </c>
      <c r="AE83" t="str">
        <f>"11216"</f>
        <v>11216</v>
      </c>
      <c r="AF83" t="s">
        <v>51</v>
      </c>
      <c r="AG83" t="str">
        <f>"1M"</f>
        <v>1M</v>
      </c>
      <c r="AH83" t="str">
        <f>"Cleaning"</f>
        <v>Cleaning</v>
      </c>
      <c r="AI83" t="str">
        <f>"Trade contract you are interested in bidding (use semi-colon to seperate each listing)"</f>
        <v>Trade contract you are interested in bidding (use semi-colon to seperate each listing)</v>
      </c>
      <c r="AJ83" t="str">
        <f>"1M "</f>
        <v xml:space="preserve">1M </v>
      </c>
    </row>
    <row r="84" spans="1:36" x14ac:dyDescent="0.35">
      <c r="A84">
        <v>82</v>
      </c>
      <c r="B84" t="str">
        <f t="shared" si="5"/>
        <v>203620166296150098</v>
      </c>
      <c r="C84">
        <v>1720138377</v>
      </c>
      <c r="D84" t="s">
        <v>37</v>
      </c>
      <c r="E84" t="s">
        <v>38</v>
      </c>
      <c r="F84" t="s">
        <v>39</v>
      </c>
      <c r="G84" t="s">
        <v>40</v>
      </c>
      <c r="H84" t="s">
        <v>41</v>
      </c>
      <c r="I84" t="s">
        <v>42</v>
      </c>
      <c r="J84" t="s">
        <v>43</v>
      </c>
      <c r="K84" t="s">
        <v>132</v>
      </c>
      <c r="L84" t="s">
        <v>133</v>
      </c>
      <c r="M84" t="s">
        <v>134</v>
      </c>
      <c r="N84" t="s">
        <v>47</v>
      </c>
      <c r="O84" t="s">
        <v>48</v>
      </c>
      <c r="P84" t="s">
        <v>48</v>
      </c>
      <c r="Q84" t="s">
        <v>84</v>
      </c>
      <c r="R84" t="s">
        <v>37</v>
      </c>
      <c r="S84" t="s">
        <v>135</v>
      </c>
      <c r="T84">
        <v>437845</v>
      </c>
      <c r="U84">
        <v>0</v>
      </c>
      <c r="V84" t="s">
        <v>48</v>
      </c>
      <c r="W84" t="str">
        <f>"President"</f>
        <v>President</v>
      </c>
      <c r="X84" s="1">
        <v>36161</v>
      </c>
      <c r="Y84" t="str">
        <f>"Gridspan Corporation"</f>
        <v>Gridspan Corporation</v>
      </c>
      <c r="Z84" t="str">
        <f>"1-732-729-9950"</f>
        <v>1-732-729-9950</v>
      </c>
      <c r="AA84" t="str">
        <f>"3"</f>
        <v>3</v>
      </c>
      <c r="AB84" t="str">
        <f>"Monmouth Dr"</f>
        <v>Monmouth Dr</v>
      </c>
      <c r="AC84" t="str">
        <f>"Monmouth JN"</f>
        <v>Monmouth JN</v>
      </c>
      <c r="AD84" t="str">
        <f>"NJ"</f>
        <v>NJ</v>
      </c>
      <c r="AE84" t="str">
        <f>"08852"</f>
        <v>08852</v>
      </c>
      <c r="AF84" t="s">
        <v>51</v>
      </c>
      <c r="AG84" t="str">
        <f>""</f>
        <v/>
      </c>
      <c r="AH84" t="str">
        <f>"GC"</f>
        <v>GC</v>
      </c>
      <c r="AI84" t="str">
        <f>"Is your firm a Certified MBE?"</f>
        <v>Is your firm a Certified MBE?</v>
      </c>
      <c r="AJ84" t="str">
        <f>""</f>
        <v/>
      </c>
    </row>
    <row r="85" spans="1:36" x14ac:dyDescent="0.35">
      <c r="A85">
        <v>83</v>
      </c>
      <c r="B85" t="str">
        <f t="shared" si="5"/>
        <v>203620166296150098</v>
      </c>
      <c r="C85">
        <v>1720138377</v>
      </c>
      <c r="D85" t="s">
        <v>37</v>
      </c>
      <c r="E85" t="s">
        <v>38</v>
      </c>
      <c r="F85" t="s">
        <v>39</v>
      </c>
      <c r="G85" t="s">
        <v>40</v>
      </c>
      <c r="H85" t="s">
        <v>41</v>
      </c>
      <c r="I85" t="s">
        <v>42</v>
      </c>
      <c r="J85" t="s">
        <v>43</v>
      </c>
      <c r="K85" t="s">
        <v>283</v>
      </c>
      <c r="L85" t="s">
        <v>284</v>
      </c>
      <c r="M85" t="s">
        <v>285</v>
      </c>
      <c r="N85" t="s">
        <v>47</v>
      </c>
      <c r="O85" t="s">
        <v>48</v>
      </c>
      <c r="P85" t="s">
        <v>48</v>
      </c>
      <c r="Q85" t="s">
        <v>242</v>
      </c>
      <c r="R85" t="s">
        <v>37</v>
      </c>
      <c r="S85" t="s">
        <v>287</v>
      </c>
      <c r="T85">
        <v>430422</v>
      </c>
      <c r="U85">
        <v>0</v>
      </c>
      <c r="V85" t="s">
        <v>48</v>
      </c>
      <c r="W85" t="str">
        <f>"President"</f>
        <v>President</v>
      </c>
      <c r="X85" s="1">
        <v>36161</v>
      </c>
      <c r="Y85" t="str">
        <f>"Sezekcol Electric Inc"</f>
        <v>Sezekcol Electric Inc</v>
      </c>
      <c r="Z85" t="str">
        <f>"1-19178907214"</f>
        <v>1-19178907214</v>
      </c>
      <c r="AA85" t="str">
        <f>"22319 Linden Boulevard"</f>
        <v>22319 Linden Boulevard</v>
      </c>
      <c r="AB85" t="str">
        <f>"11643 226th Street"</f>
        <v>11643 226th Street</v>
      </c>
      <c r="AC85" t="str">
        <f>"Cambria Heights"</f>
        <v>Cambria Heights</v>
      </c>
      <c r="AD85" t="str">
        <f t="shared" ref="AD85:AD90" si="6">"NY"</f>
        <v>NY</v>
      </c>
      <c r="AE85" t="str">
        <f>"11411"</f>
        <v>11411</v>
      </c>
      <c r="AF85" t="s">
        <v>51</v>
      </c>
      <c r="AG85" t="str">
        <f>"400,000"</f>
        <v>400,000</v>
      </c>
      <c r="AH85" t="str">
        <f>"Electrical"</f>
        <v>Electrical</v>
      </c>
      <c r="AI85" t="str">
        <f>"Is your firm a Certified MBE?|Has your firm worked on DASNY projects as a prime or sub-contractor?"</f>
        <v>Is your firm a Certified MBE?|Has your firm worked on DASNY projects as a prime or sub-contractor?</v>
      </c>
      <c r="AJ85" t="str">
        <f>"400,000"</f>
        <v>400,000</v>
      </c>
    </row>
    <row r="86" spans="1:36" x14ac:dyDescent="0.35">
      <c r="A86">
        <v>84</v>
      </c>
      <c r="B86" t="str">
        <f t="shared" si="5"/>
        <v>203620166296150098</v>
      </c>
      <c r="C86">
        <v>1720138377</v>
      </c>
      <c r="D86" t="s">
        <v>37</v>
      </c>
      <c r="E86" t="s">
        <v>38</v>
      </c>
      <c r="F86" t="s">
        <v>39</v>
      </c>
      <c r="G86" t="s">
        <v>40</v>
      </c>
      <c r="H86" t="s">
        <v>41</v>
      </c>
      <c r="I86" t="s">
        <v>42</v>
      </c>
      <c r="J86" t="s">
        <v>43</v>
      </c>
      <c r="K86" t="s">
        <v>389</v>
      </c>
      <c r="L86" t="s">
        <v>390</v>
      </c>
      <c r="M86" t="s">
        <v>391</v>
      </c>
      <c r="N86" t="s">
        <v>47</v>
      </c>
      <c r="O86" t="s">
        <v>48</v>
      </c>
      <c r="P86" t="s">
        <v>48</v>
      </c>
      <c r="Q86" t="s">
        <v>84</v>
      </c>
      <c r="R86" t="s">
        <v>37</v>
      </c>
      <c r="S86" t="s">
        <v>392</v>
      </c>
      <c r="T86">
        <v>568586</v>
      </c>
      <c r="U86">
        <v>0</v>
      </c>
      <c r="V86" t="s">
        <v>48</v>
      </c>
      <c r="W86" t="str">
        <f>"Director of Business Development"</f>
        <v>Director of Business Development</v>
      </c>
      <c r="X86" s="1">
        <v>36161</v>
      </c>
      <c r="Y86" t="str">
        <f>"Bull Ding LLC"</f>
        <v>Bull Ding LLC</v>
      </c>
      <c r="Z86" t="str">
        <f>"1-6469387027"</f>
        <v>1-6469387027</v>
      </c>
      <c r="AA86" t="str">
        <f>"33 West 19th Street"</f>
        <v>33 West 19th Street</v>
      </c>
      <c r="AB86" t="str">
        <f>"Suite 303"</f>
        <v>Suite 303</v>
      </c>
      <c r="AC86" t="str">
        <f>"New York"</f>
        <v>New York</v>
      </c>
      <c r="AD86" t="str">
        <f t="shared" si="6"/>
        <v>NY</v>
      </c>
      <c r="AE86" t="str">
        <f>"10011"</f>
        <v>10011</v>
      </c>
      <c r="AF86" t="s">
        <v>51</v>
      </c>
      <c r="AG86" t="str">
        <f>""</f>
        <v/>
      </c>
      <c r="AH86" t="str">
        <f>"Construction Contractor"</f>
        <v>Construction Contractor</v>
      </c>
      <c r="AI86" t="str">
        <f>"Is your firm a NYS Certified WBE?|Is your firm a Certified MBE?"</f>
        <v>Is your firm a NYS Certified WBE?|Is your firm a Certified MBE?</v>
      </c>
      <c r="AJ86" t="str">
        <f>""</f>
        <v/>
      </c>
    </row>
    <row r="87" spans="1:36" x14ac:dyDescent="0.35">
      <c r="A87">
        <v>85</v>
      </c>
      <c r="B87" t="str">
        <f t="shared" si="5"/>
        <v>203620166296150098</v>
      </c>
      <c r="C87">
        <v>1720138377</v>
      </c>
      <c r="D87" t="s">
        <v>37</v>
      </c>
      <c r="E87" t="s">
        <v>38</v>
      </c>
      <c r="F87" t="s">
        <v>39</v>
      </c>
      <c r="G87" t="s">
        <v>40</v>
      </c>
      <c r="H87" t="s">
        <v>41</v>
      </c>
      <c r="I87" t="s">
        <v>42</v>
      </c>
      <c r="J87" t="s">
        <v>43</v>
      </c>
      <c r="K87" t="s">
        <v>393</v>
      </c>
      <c r="L87" t="s">
        <v>266</v>
      </c>
      <c r="M87" t="s">
        <v>394</v>
      </c>
      <c r="N87" t="s">
        <v>47</v>
      </c>
      <c r="O87" t="s">
        <v>48</v>
      </c>
      <c r="P87" t="s">
        <v>48</v>
      </c>
      <c r="Q87" t="s">
        <v>40</v>
      </c>
      <c r="R87" t="s">
        <v>37</v>
      </c>
      <c r="S87" t="s">
        <v>395</v>
      </c>
      <c r="T87">
        <v>594631</v>
      </c>
      <c r="U87">
        <v>0</v>
      </c>
      <c r="V87" t="s">
        <v>48</v>
      </c>
      <c r="W87" t="str">
        <f>"President"</f>
        <v>President</v>
      </c>
      <c r="X87" s="1">
        <v>36161</v>
      </c>
      <c r="Y87" t="str">
        <f>"ABAE Enterprises, Inc."</f>
        <v>ABAE Enterprises, Inc.</v>
      </c>
      <c r="Z87" t="str">
        <f>"1-212.882.1471"</f>
        <v>1-212.882.1471</v>
      </c>
      <c r="AA87" t="str">
        <f>"207 West 137th Street"</f>
        <v>207 West 137th Street</v>
      </c>
      <c r="AB87" t="str">
        <f>"Suite B"</f>
        <v>Suite B</v>
      </c>
      <c r="AC87" t="str">
        <f>"New York"</f>
        <v>New York</v>
      </c>
      <c r="AD87" t="str">
        <f t="shared" si="6"/>
        <v>NY</v>
      </c>
      <c r="AE87" t="str">
        <f>"10030"</f>
        <v>10030</v>
      </c>
      <c r="AF87" t="s">
        <v>51</v>
      </c>
      <c r="AG87" t="str">
        <f>"2 million"</f>
        <v>2 million</v>
      </c>
      <c r="AH87" t="str">
        <f>"Pipe fitting/steamfitting"</f>
        <v>Pipe fitting/steamfitting</v>
      </c>
      <c r="AI87" t="str">
        <f>"Is your firm a Certified MBE?"</f>
        <v>Is your firm a Certified MBE?</v>
      </c>
      <c r="AJ87" t="str">
        <f>"2 million"</f>
        <v>2 million</v>
      </c>
    </row>
    <row r="88" spans="1:36" x14ac:dyDescent="0.35">
      <c r="A88">
        <v>86</v>
      </c>
      <c r="B88" t="str">
        <f t="shared" si="5"/>
        <v>203620166296150098</v>
      </c>
      <c r="C88">
        <v>1720138377</v>
      </c>
      <c r="D88" t="s">
        <v>37</v>
      </c>
      <c r="E88" t="s">
        <v>38</v>
      </c>
      <c r="F88" t="s">
        <v>39</v>
      </c>
      <c r="G88" t="s">
        <v>40</v>
      </c>
      <c r="H88" t="s">
        <v>41</v>
      </c>
      <c r="I88" t="s">
        <v>42</v>
      </c>
      <c r="J88" t="s">
        <v>106</v>
      </c>
      <c r="K88" t="s">
        <v>107</v>
      </c>
      <c r="L88" t="s">
        <v>108</v>
      </c>
      <c r="M88" t="s">
        <v>109</v>
      </c>
      <c r="N88" t="s">
        <v>48</v>
      </c>
      <c r="O88" t="s">
        <v>48</v>
      </c>
      <c r="P88" t="s">
        <v>48</v>
      </c>
      <c r="Q88" t="s">
        <v>396</v>
      </c>
      <c r="R88" t="s">
        <v>37</v>
      </c>
      <c r="S88" t="s">
        <v>111</v>
      </c>
      <c r="T88">
        <v>123030</v>
      </c>
      <c r="U88">
        <v>0</v>
      </c>
      <c r="V88" t="s">
        <v>47</v>
      </c>
      <c r="W88" t="str">
        <f>"Sr Director OPG"</f>
        <v>Sr Director OPG</v>
      </c>
      <c r="X88" s="1">
        <v>36161</v>
      </c>
      <c r="Y88" t="str">
        <f>"DASNY"</f>
        <v>DASNY</v>
      </c>
      <c r="Z88" t="str">
        <f>"1-5182573000"</f>
        <v>1-5182573000</v>
      </c>
      <c r="AA88" t="str">
        <f>"515 Broadway"</f>
        <v>515 Broadway</v>
      </c>
      <c r="AB88" t="str">
        <f>"3rd floor"</f>
        <v>3rd floor</v>
      </c>
      <c r="AC88" t="str">
        <f>"Albany"</f>
        <v>Albany</v>
      </c>
      <c r="AD88" t="str">
        <f t="shared" si="6"/>
        <v>NY</v>
      </c>
      <c r="AE88" t="str">
        <f>"12207"</f>
        <v>12207</v>
      </c>
      <c r="AF88" t="s">
        <v>51</v>
      </c>
      <c r="AG88" t="str">
        <f>"5M"</f>
        <v>5M</v>
      </c>
      <c r="AH88" t="str">
        <f>"OPG"</f>
        <v>OPG</v>
      </c>
      <c r="AI88" t="str">
        <f>"Is your firm a NYS Certified WBE?"</f>
        <v>Is your firm a NYS Certified WBE?</v>
      </c>
      <c r="AJ88" t="str">
        <f>"40M"</f>
        <v>40M</v>
      </c>
    </row>
    <row r="89" spans="1:36" x14ac:dyDescent="0.35">
      <c r="A89">
        <v>87</v>
      </c>
      <c r="B89" t="str">
        <f t="shared" si="5"/>
        <v>203620166296150098</v>
      </c>
      <c r="C89">
        <v>1720138377</v>
      </c>
      <c r="D89" t="s">
        <v>37</v>
      </c>
      <c r="E89" t="s">
        <v>38</v>
      </c>
      <c r="F89" t="s">
        <v>39</v>
      </c>
      <c r="G89" t="s">
        <v>40</v>
      </c>
      <c r="H89" t="s">
        <v>41</v>
      </c>
      <c r="I89" t="s">
        <v>42</v>
      </c>
      <c r="J89" t="s">
        <v>43</v>
      </c>
      <c r="K89" t="s">
        <v>397</v>
      </c>
      <c r="L89" t="s">
        <v>398</v>
      </c>
      <c r="M89" t="s">
        <v>399</v>
      </c>
      <c r="N89" t="s">
        <v>47</v>
      </c>
      <c r="O89" t="s">
        <v>48</v>
      </c>
      <c r="P89" t="s">
        <v>48</v>
      </c>
      <c r="Q89" t="s">
        <v>242</v>
      </c>
      <c r="R89" t="s">
        <v>37</v>
      </c>
      <c r="S89" t="s">
        <v>400</v>
      </c>
      <c r="T89">
        <v>492683</v>
      </c>
      <c r="U89">
        <v>0</v>
      </c>
      <c r="V89" t="s">
        <v>48</v>
      </c>
      <c r="W89" t="str">
        <f>"President"</f>
        <v>President</v>
      </c>
      <c r="X89" s="1">
        <v>36161</v>
      </c>
      <c r="Y89" t="str">
        <f>"Shine Construction"</f>
        <v>Shine Construction</v>
      </c>
      <c r="Z89" t="str">
        <f>"1-7183004900"</f>
        <v>1-7183004900</v>
      </c>
      <c r="AA89" t="str">
        <f>"8929"</f>
        <v>8929</v>
      </c>
      <c r="AB89" t="str">
        <f>"191 st"</f>
        <v>191 st</v>
      </c>
      <c r="AC89" t="str">
        <f>"Jamaica"</f>
        <v>Jamaica</v>
      </c>
      <c r="AD89" t="str">
        <f t="shared" si="6"/>
        <v>NY</v>
      </c>
      <c r="AE89" t="str">
        <f>"11423"</f>
        <v>11423</v>
      </c>
      <c r="AF89" t="s">
        <v>51</v>
      </c>
      <c r="AG89" t="str">
        <f>""</f>
        <v/>
      </c>
      <c r="AH89" t="str">
        <f>"Construction"</f>
        <v>Construction</v>
      </c>
      <c r="AI89" t="str">
        <f>"Is your firm a Certified MBE?"</f>
        <v>Is your firm a Certified MBE?</v>
      </c>
      <c r="AJ89" t="str">
        <f>""</f>
        <v/>
      </c>
    </row>
    <row r="90" spans="1:36" x14ac:dyDescent="0.35">
      <c r="A90">
        <v>88</v>
      </c>
      <c r="B90" t="str">
        <f t="shared" si="5"/>
        <v>203620166296150098</v>
      </c>
      <c r="C90">
        <v>1720138377</v>
      </c>
      <c r="D90" t="s">
        <v>37</v>
      </c>
      <c r="E90" t="s">
        <v>38</v>
      </c>
      <c r="F90" t="s">
        <v>39</v>
      </c>
      <c r="G90" t="s">
        <v>40</v>
      </c>
      <c r="H90" t="s">
        <v>41</v>
      </c>
      <c r="I90" t="s">
        <v>42</v>
      </c>
      <c r="J90" t="s">
        <v>43</v>
      </c>
      <c r="K90" t="s">
        <v>401</v>
      </c>
      <c r="L90" t="s">
        <v>402</v>
      </c>
      <c r="M90" t="s">
        <v>403</v>
      </c>
      <c r="N90" t="s">
        <v>47</v>
      </c>
      <c r="O90" t="s">
        <v>48</v>
      </c>
      <c r="P90" t="s">
        <v>48</v>
      </c>
      <c r="Q90" t="s">
        <v>66</v>
      </c>
      <c r="R90" t="s">
        <v>37</v>
      </c>
      <c r="S90" t="s">
        <v>404</v>
      </c>
      <c r="T90">
        <v>487369</v>
      </c>
      <c r="U90">
        <v>0</v>
      </c>
      <c r="V90" t="s">
        <v>48</v>
      </c>
      <c r="W90" t="str">
        <f>"CEO"</f>
        <v>CEO</v>
      </c>
      <c r="X90" s="1">
        <v>36161</v>
      </c>
      <c r="Y90" t="str">
        <f>"Empire Experience, LLC"</f>
        <v>Empire Experience, LLC</v>
      </c>
      <c r="Z90" t="str">
        <f>"1-347-753-6040"</f>
        <v>1-347-753-6040</v>
      </c>
      <c r="AA90" t="str">
        <f>"261 Montauk Avenue"</f>
        <v>261 Montauk Avenue</v>
      </c>
      <c r="AB90" t="str">
        <f>"#2"</f>
        <v>#2</v>
      </c>
      <c r="AC90" t="str">
        <f>"Brooklyn"</f>
        <v>Brooklyn</v>
      </c>
      <c r="AD90" t="str">
        <f t="shared" si="6"/>
        <v>NY</v>
      </c>
      <c r="AE90" t="str">
        <f>"11208"</f>
        <v>11208</v>
      </c>
      <c r="AF90" t="s">
        <v>51</v>
      </c>
      <c r="AG90" t="str">
        <f>"20,000"</f>
        <v>20,000</v>
      </c>
      <c r="AH90" t="str">
        <f>"Construction"</f>
        <v>Construction</v>
      </c>
      <c r="AI90" t="str">
        <f>"Is your firm a NYS Certified WBE?|Is your firm a Certified MBE?|Is your firm a NYS Certified SVDOB?|Trade contract you are interested in bidding (use semi-colon to seperate each listing)"</f>
        <v>Is your firm a NYS Certified WBE?|Is your firm a Certified MBE?|Is your firm a NYS Certified SVDOB?|Trade contract you are interested in bidding (use semi-colon to seperate each listing)</v>
      </c>
      <c r="AJ90" t="str">
        <f>""</f>
        <v/>
      </c>
    </row>
    <row r="91" spans="1:36" x14ac:dyDescent="0.35">
      <c r="A91">
        <v>89</v>
      </c>
      <c r="B91" t="str">
        <f t="shared" si="5"/>
        <v>203620166296150098</v>
      </c>
      <c r="C91">
        <v>1720138377</v>
      </c>
      <c r="D91" t="s">
        <v>37</v>
      </c>
      <c r="E91" t="s">
        <v>38</v>
      </c>
      <c r="F91" t="s">
        <v>39</v>
      </c>
      <c r="G91" t="s">
        <v>40</v>
      </c>
      <c r="H91" t="s">
        <v>41</v>
      </c>
      <c r="I91" t="s">
        <v>42</v>
      </c>
      <c r="J91" t="s">
        <v>106</v>
      </c>
      <c r="K91" t="s">
        <v>405</v>
      </c>
      <c r="L91" t="s">
        <v>406</v>
      </c>
      <c r="M91" t="s">
        <v>407</v>
      </c>
      <c r="N91" t="s">
        <v>48</v>
      </c>
      <c r="O91" t="s">
        <v>47</v>
      </c>
      <c r="P91" t="s">
        <v>48</v>
      </c>
      <c r="Q91" t="s">
        <v>408</v>
      </c>
      <c r="R91" t="s">
        <v>37</v>
      </c>
      <c r="T91">
        <v>0</v>
      </c>
      <c r="V91" t="s">
        <v>47</v>
      </c>
      <c r="W91" t="str">
        <f>"  "</f>
        <v xml:space="preserve">  </v>
      </c>
      <c r="Y91" t="str">
        <f>"  "</f>
        <v xml:space="preserve">  </v>
      </c>
      <c r="Z91" t="str">
        <f>"1-"</f>
        <v>1-</v>
      </c>
      <c r="AA91" t="str">
        <f>"  "</f>
        <v xml:space="preserve">  </v>
      </c>
      <c r="AB91" t="str">
        <f>"  "</f>
        <v xml:space="preserve">  </v>
      </c>
      <c r="AC91" t="str">
        <f>"  "</f>
        <v xml:space="preserve">  </v>
      </c>
      <c r="AD91" t="str">
        <f>"  "</f>
        <v xml:space="preserve">  </v>
      </c>
      <c r="AE91" t="str">
        <f>"  "</f>
        <v xml:space="preserve">  </v>
      </c>
      <c r="AG91" t="str">
        <f>""</f>
        <v/>
      </c>
      <c r="AH91" t="str">
        <f>""</f>
        <v/>
      </c>
      <c r="AI91" t="str">
        <f>""</f>
        <v/>
      </c>
      <c r="AJ91" t="str">
        <f>""</f>
        <v/>
      </c>
    </row>
    <row r="92" spans="1:36" x14ac:dyDescent="0.35">
      <c r="A92">
        <v>90</v>
      </c>
      <c r="B92" t="str">
        <f t="shared" si="5"/>
        <v>203620166296150098</v>
      </c>
      <c r="C92">
        <v>1720138377</v>
      </c>
      <c r="D92" t="s">
        <v>37</v>
      </c>
      <c r="E92" t="s">
        <v>38</v>
      </c>
      <c r="F92" t="s">
        <v>39</v>
      </c>
      <c r="G92" t="s">
        <v>40</v>
      </c>
      <c r="H92" t="s">
        <v>41</v>
      </c>
      <c r="I92" t="s">
        <v>42</v>
      </c>
      <c r="J92" t="s">
        <v>43</v>
      </c>
      <c r="K92" t="s">
        <v>409</v>
      </c>
      <c r="L92" t="s">
        <v>410</v>
      </c>
      <c r="M92" t="s">
        <v>411</v>
      </c>
      <c r="N92" t="s">
        <v>47</v>
      </c>
      <c r="O92" t="s">
        <v>48</v>
      </c>
      <c r="P92" t="s">
        <v>48</v>
      </c>
      <c r="Q92" t="s">
        <v>56</v>
      </c>
      <c r="R92" t="s">
        <v>37</v>
      </c>
      <c r="S92" t="s">
        <v>412</v>
      </c>
      <c r="T92">
        <v>675999</v>
      </c>
      <c r="U92">
        <v>0</v>
      </c>
      <c r="V92" t="s">
        <v>47</v>
      </c>
      <c r="W92" t="str">
        <f>"Manager"</f>
        <v>Manager</v>
      </c>
      <c r="X92" s="1">
        <v>36161</v>
      </c>
      <c r="Y92" t="str">
        <f>"Upstate Companies I, LLC"</f>
        <v>Upstate Companies I, LLC</v>
      </c>
      <c r="Z92" t="str">
        <f>"1-6073213452"</f>
        <v>1-6073213452</v>
      </c>
      <c r="AA92" t="str">
        <f>"1690 st hwy 8"</f>
        <v>1690 st hwy 8</v>
      </c>
      <c r="AB92" t="str">
        <f>"1690 State Highway 8"</f>
        <v>1690 State Highway 8</v>
      </c>
      <c r="AC92" t="str">
        <f>"mount upton"</f>
        <v>mount upton</v>
      </c>
      <c r="AD92" t="str">
        <f>"NY"</f>
        <v>NY</v>
      </c>
      <c r="AE92" t="str">
        <f>"13809"</f>
        <v>13809</v>
      </c>
      <c r="AF92" t="s">
        <v>51</v>
      </c>
      <c r="AG92" t="str">
        <f>""</f>
        <v/>
      </c>
      <c r="AH92" t="str">
        <f>"General Construction"</f>
        <v>General Construction</v>
      </c>
      <c r="AI92" t="str">
        <f>"Has your firm worked on DASNY projects as a prime or sub-contractor?|Has your firm bid on DASNY JOC contract soliciations?"</f>
        <v>Has your firm worked on DASNY projects as a prime or sub-contractor?|Has your firm bid on DASNY JOC contract soliciations?</v>
      </c>
      <c r="AJ92" t="str">
        <f>""</f>
        <v/>
      </c>
    </row>
    <row r="93" spans="1:36" x14ac:dyDescent="0.35">
      <c r="A93">
        <v>91</v>
      </c>
      <c r="B93" t="str">
        <f t="shared" si="5"/>
        <v>203620166296150098</v>
      </c>
      <c r="C93">
        <v>1720138377</v>
      </c>
      <c r="D93" t="s">
        <v>37</v>
      </c>
      <c r="E93" t="s">
        <v>38</v>
      </c>
      <c r="F93" t="s">
        <v>39</v>
      </c>
      <c r="G93" t="s">
        <v>40</v>
      </c>
      <c r="H93" t="s">
        <v>41</v>
      </c>
      <c r="I93" t="s">
        <v>42</v>
      </c>
      <c r="J93" t="s">
        <v>106</v>
      </c>
      <c r="K93" t="s">
        <v>107</v>
      </c>
      <c r="L93" t="s">
        <v>108</v>
      </c>
      <c r="M93" t="s">
        <v>109</v>
      </c>
      <c r="N93" t="s">
        <v>48</v>
      </c>
      <c r="O93" t="s">
        <v>48</v>
      </c>
      <c r="P93" t="s">
        <v>48</v>
      </c>
      <c r="Q93" t="s">
        <v>413</v>
      </c>
      <c r="R93" t="s">
        <v>37</v>
      </c>
      <c r="S93" t="s">
        <v>111</v>
      </c>
      <c r="T93">
        <v>123030</v>
      </c>
      <c r="U93">
        <v>0</v>
      </c>
      <c r="V93" t="s">
        <v>47</v>
      </c>
      <c r="W93" t="str">
        <f>"Sr Director OPG"</f>
        <v>Sr Director OPG</v>
      </c>
      <c r="X93" s="1">
        <v>36161</v>
      </c>
      <c r="Y93" t="str">
        <f>"DASNY"</f>
        <v>DASNY</v>
      </c>
      <c r="Z93" t="str">
        <f>"1-5182573000"</f>
        <v>1-5182573000</v>
      </c>
      <c r="AA93" t="str">
        <f>"515 Broadway"</f>
        <v>515 Broadway</v>
      </c>
      <c r="AB93" t="str">
        <f>"3rd floor"</f>
        <v>3rd floor</v>
      </c>
      <c r="AC93" t="str">
        <f>"Albany"</f>
        <v>Albany</v>
      </c>
      <c r="AD93" t="str">
        <f>"NY"</f>
        <v>NY</v>
      </c>
      <c r="AE93" t="str">
        <f>"12207"</f>
        <v>12207</v>
      </c>
      <c r="AF93" t="s">
        <v>51</v>
      </c>
      <c r="AG93" t="str">
        <f>"5M"</f>
        <v>5M</v>
      </c>
      <c r="AH93" t="str">
        <f>"OPG"</f>
        <v>OPG</v>
      </c>
      <c r="AI93" t="str">
        <f>"Is your firm a NYS Certified WBE?"</f>
        <v>Is your firm a NYS Certified WBE?</v>
      </c>
      <c r="AJ93" t="str">
        <f>"40M"</f>
        <v>40M</v>
      </c>
    </row>
    <row r="94" spans="1:36" x14ac:dyDescent="0.35">
      <c r="A94">
        <v>92</v>
      </c>
      <c r="B94" t="str">
        <f t="shared" si="5"/>
        <v>203620166296150098</v>
      </c>
      <c r="C94">
        <v>1720138377</v>
      </c>
      <c r="D94" t="s">
        <v>37</v>
      </c>
      <c r="E94" t="s">
        <v>38</v>
      </c>
      <c r="F94" t="s">
        <v>39</v>
      </c>
      <c r="G94" t="s">
        <v>40</v>
      </c>
      <c r="H94" t="s">
        <v>41</v>
      </c>
      <c r="I94" t="s">
        <v>42</v>
      </c>
      <c r="J94" t="s">
        <v>43</v>
      </c>
      <c r="K94" t="s">
        <v>414</v>
      </c>
      <c r="L94" t="s">
        <v>415</v>
      </c>
      <c r="M94" t="s">
        <v>416</v>
      </c>
      <c r="N94" t="s">
        <v>47</v>
      </c>
      <c r="O94" t="s">
        <v>48</v>
      </c>
      <c r="P94" t="s">
        <v>48</v>
      </c>
      <c r="Q94" t="s">
        <v>417</v>
      </c>
      <c r="R94" t="s">
        <v>37</v>
      </c>
      <c r="S94" t="s">
        <v>418</v>
      </c>
      <c r="T94">
        <v>625502</v>
      </c>
      <c r="U94">
        <v>0</v>
      </c>
      <c r="V94" t="s">
        <v>48</v>
      </c>
      <c r="W94" t="str">
        <f>"Architect/VP"</f>
        <v>Architect/VP</v>
      </c>
      <c r="X94" s="1">
        <v>36161</v>
      </c>
      <c r="Y94" t="str">
        <f>"Saad construction Corp"</f>
        <v>Saad construction Corp</v>
      </c>
      <c r="Z94" t="str">
        <f>"1-9176287558"</f>
        <v>1-9176287558</v>
      </c>
      <c r="AA94" t="str">
        <f>"4 whispering court"</f>
        <v>4 whispering court</v>
      </c>
      <c r="AB94" t="str">
        <f>"N/a"</f>
        <v>N/a</v>
      </c>
      <c r="AC94" t="str">
        <f>"Dix hills"</f>
        <v>Dix hills</v>
      </c>
      <c r="AD94" t="str">
        <f>"NY"</f>
        <v>NY</v>
      </c>
      <c r="AE94" t="str">
        <f>"11746"</f>
        <v>11746</v>
      </c>
      <c r="AF94" t="s">
        <v>51</v>
      </c>
      <c r="AG94" t="str">
        <f>"3,000,000"</f>
        <v>3,000,000</v>
      </c>
      <c r="AH94" t="str">
        <f>"General contractor"</f>
        <v>General contractor</v>
      </c>
      <c r="AI94" t="str">
        <f>"Is your firm a Certified MBE?|Trade contract you are interested in bidding (use semi-colon to seperate each listing)"</f>
        <v>Is your firm a Certified MBE?|Trade contract you are interested in bidding (use semi-colon to seperate each listing)</v>
      </c>
      <c r="AJ94" t="str">
        <f>"6,000,000"</f>
        <v>6,000,000</v>
      </c>
    </row>
    <row r="95" spans="1:36" x14ac:dyDescent="0.35">
      <c r="A95">
        <v>93</v>
      </c>
      <c r="B95" t="str">
        <f t="shared" si="5"/>
        <v>203620166296150098</v>
      </c>
      <c r="C95">
        <v>1720138377</v>
      </c>
      <c r="D95" t="s">
        <v>37</v>
      </c>
      <c r="E95" t="s">
        <v>38</v>
      </c>
      <c r="F95" t="s">
        <v>39</v>
      </c>
      <c r="G95" t="s">
        <v>40</v>
      </c>
      <c r="H95" t="s">
        <v>41</v>
      </c>
      <c r="I95" t="s">
        <v>42</v>
      </c>
      <c r="J95" t="s">
        <v>43</v>
      </c>
      <c r="K95" t="s">
        <v>253</v>
      </c>
      <c r="L95" t="s">
        <v>102</v>
      </c>
      <c r="M95" t="s">
        <v>254</v>
      </c>
      <c r="N95" t="s">
        <v>47</v>
      </c>
      <c r="O95" t="s">
        <v>48</v>
      </c>
      <c r="P95" t="s">
        <v>48</v>
      </c>
      <c r="Q95" t="s">
        <v>158</v>
      </c>
      <c r="R95" t="s">
        <v>37</v>
      </c>
      <c r="S95" t="s">
        <v>256</v>
      </c>
      <c r="T95">
        <v>863775</v>
      </c>
      <c r="U95">
        <v>0</v>
      </c>
      <c r="V95" t="s">
        <v>48</v>
      </c>
      <c r="W95" t="str">
        <f>"owner"</f>
        <v>owner</v>
      </c>
      <c r="X95" s="1">
        <v>36161</v>
      </c>
      <c r="Y95" t="str">
        <f>"Lerco Electric, LLC"</f>
        <v>Lerco Electric, LLC</v>
      </c>
      <c r="Z95" t="str">
        <f>"1-7185855529"</f>
        <v>1-7185855529</v>
      </c>
      <c r="AA95" t="str">
        <f>"370 E 146 STREET"</f>
        <v>370 E 146 STREET</v>
      </c>
      <c r="AB95" t="str">
        <f>"office"</f>
        <v>office</v>
      </c>
      <c r="AC95" t="str">
        <f>"Bronx"</f>
        <v>Bronx</v>
      </c>
      <c r="AD95" t="str">
        <f>"NY"</f>
        <v>NY</v>
      </c>
      <c r="AE95" t="str">
        <f>"10455"</f>
        <v>10455</v>
      </c>
      <c r="AF95" t="s">
        <v>51</v>
      </c>
      <c r="AG95" t="str">
        <f>"6 million"</f>
        <v>6 million</v>
      </c>
      <c r="AH95" t="str">
        <f>"Electrical"</f>
        <v>Electrical</v>
      </c>
      <c r="AI95" t="str">
        <f>"Is your firm a Certified MBE?"</f>
        <v>Is your firm a Certified MBE?</v>
      </c>
      <c r="AJ95" t="str">
        <f>"10 million"</f>
        <v>10 million</v>
      </c>
    </row>
    <row r="96" spans="1:36" x14ac:dyDescent="0.35">
      <c r="A96">
        <v>94</v>
      </c>
      <c r="B96" t="str">
        <f t="shared" si="5"/>
        <v>203620166296150098</v>
      </c>
      <c r="C96">
        <v>1720138377</v>
      </c>
      <c r="D96" t="s">
        <v>37</v>
      </c>
      <c r="E96" t="s">
        <v>38</v>
      </c>
      <c r="F96" t="s">
        <v>39</v>
      </c>
      <c r="G96" t="s">
        <v>40</v>
      </c>
      <c r="H96" t="s">
        <v>41</v>
      </c>
      <c r="I96" t="s">
        <v>42</v>
      </c>
      <c r="J96" t="s">
        <v>43</v>
      </c>
      <c r="K96" t="s">
        <v>419</v>
      </c>
      <c r="L96" t="s">
        <v>211</v>
      </c>
      <c r="M96" t="s">
        <v>420</v>
      </c>
      <c r="N96" t="s">
        <v>47</v>
      </c>
      <c r="O96" t="s">
        <v>48</v>
      </c>
      <c r="P96" t="s">
        <v>48</v>
      </c>
      <c r="Q96" t="s">
        <v>209</v>
      </c>
      <c r="R96" t="s">
        <v>37</v>
      </c>
      <c r="S96" t="s">
        <v>421</v>
      </c>
      <c r="T96">
        <v>222224</v>
      </c>
      <c r="U96">
        <v>0</v>
      </c>
      <c r="V96" t="s">
        <v>48</v>
      </c>
      <c r="W96" t="str">
        <f>"President"</f>
        <v>President</v>
      </c>
      <c r="X96" s="1">
        <v>36161</v>
      </c>
      <c r="Y96" t="str">
        <f>"MWBE Constructors Inc"</f>
        <v>MWBE Constructors Inc</v>
      </c>
      <c r="Z96" t="str">
        <f>"1-7165339099"</f>
        <v>1-7165339099</v>
      </c>
      <c r="AA96" t="str">
        <f>"1039 Niagara Street"</f>
        <v>1039 Niagara Street</v>
      </c>
      <c r="AB96" t="str">
        <f>"Suite 2"</f>
        <v>Suite 2</v>
      </c>
      <c r="AC96" t="str">
        <f>"Buffalo"</f>
        <v>Buffalo</v>
      </c>
      <c r="AD96" t="str">
        <f>"New York"</f>
        <v>New York</v>
      </c>
      <c r="AE96" t="str">
        <f>"14213"</f>
        <v>14213</v>
      </c>
      <c r="AF96" t="s">
        <v>51</v>
      </c>
      <c r="AG96" t="str">
        <f>"0"</f>
        <v>0</v>
      </c>
      <c r="AH96" t="str">
        <f>"General Contractor"</f>
        <v>General Contractor</v>
      </c>
      <c r="AI96" t="str">
        <f>"Is your firm a NYS Certified WBE?|Is your firm a Certified MBE?|Has your firm worked on DASNY projects as a prime or sub-contractor?"</f>
        <v>Is your firm a NYS Certified WBE?|Is your firm a Certified MBE?|Has your firm worked on DASNY projects as a prime or sub-contractor?</v>
      </c>
      <c r="AJ96" t="str">
        <f>"0"</f>
        <v>0</v>
      </c>
    </row>
    <row r="97" spans="1:36" x14ac:dyDescent="0.35">
      <c r="A97">
        <v>95</v>
      </c>
      <c r="B97" t="str">
        <f t="shared" si="5"/>
        <v>203620166296150098</v>
      </c>
      <c r="C97">
        <v>1720138377</v>
      </c>
      <c r="D97" t="s">
        <v>37</v>
      </c>
      <c r="E97" t="s">
        <v>38</v>
      </c>
      <c r="F97" t="s">
        <v>39</v>
      </c>
      <c r="G97" t="s">
        <v>40</v>
      </c>
      <c r="H97" t="s">
        <v>41</v>
      </c>
      <c r="I97" t="s">
        <v>42</v>
      </c>
      <c r="J97" t="s">
        <v>43</v>
      </c>
      <c r="K97" t="s">
        <v>422</v>
      </c>
      <c r="L97" t="s">
        <v>423</v>
      </c>
      <c r="M97" t="s">
        <v>424</v>
      </c>
      <c r="N97" t="s">
        <v>47</v>
      </c>
      <c r="O97" t="s">
        <v>48</v>
      </c>
      <c r="P97" t="s">
        <v>48</v>
      </c>
      <c r="Q97" t="s">
        <v>143</v>
      </c>
      <c r="R97" t="s">
        <v>37</v>
      </c>
      <c r="S97" t="s">
        <v>425</v>
      </c>
      <c r="T97">
        <v>610182</v>
      </c>
      <c r="U97">
        <v>0</v>
      </c>
      <c r="V97" t="s">
        <v>47</v>
      </c>
      <c r="W97" t="str">
        <f>"Accounting"</f>
        <v>Accounting</v>
      </c>
      <c r="X97" s="1">
        <v>36161</v>
      </c>
      <c r="Y97" t="str">
        <f>"Wilkins Mechanical"</f>
        <v>Wilkins Mechanical</v>
      </c>
      <c r="Z97" t="str">
        <f>"1-3156382400"</f>
        <v>1-3156382400</v>
      </c>
      <c r="AA97" t="str">
        <f>"6923 Herman Road"</f>
        <v>6923 Herman Road</v>
      </c>
      <c r="AB97" t="str">
        <f>"PO Box 220"</f>
        <v>PO Box 220</v>
      </c>
      <c r="AC97" t="str">
        <f>"Syracuse"</f>
        <v>Syracuse</v>
      </c>
      <c r="AD97" t="str">
        <f>"NY"</f>
        <v>NY</v>
      </c>
      <c r="AE97" t="str">
        <f>"13209"</f>
        <v>13209</v>
      </c>
      <c r="AF97" t="s">
        <v>51</v>
      </c>
      <c r="AG97" t="str">
        <f>"5000000"</f>
        <v>5000000</v>
      </c>
      <c r="AH97" t="str">
        <f>"Mechanical"</f>
        <v>Mechanical</v>
      </c>
      <c r="AI97" t="s">
        <v>426</v>
      </c>
      <c r="AJ97" t="str">
        <f>"8000000"</f>
        <v>8000000</v>
      </c>
    </row>
    <row r="98" spans="1:36" x14ac:dyDescent="0.35">
      <c r="A98">
        <v>96</v>
      </c>
      <c r="B98" t="str">
        <f t="shared" si="5"/>
        <v>203620166296150098</v>
      </c>
      <c r="C98">
        <v>1720138377</v>
      </c>
      <c r="D98" t="s">
        <v>37</v>
      </c>
      <c r="E98" t="s">
        <v>38</v>
      </c>
      <c r="F98" t="s">
        <v>39</v>
      </c>
      <c r="G98" t="s">
        <v>40</v>
      </c>
      <c r="H98" t="s">
        <v>41</v>
      </c>
      <c r="I98" t="s">
        <v>42</v>
      </c>
      <c r="J98" t="s">
        <v>43</v>
      </c>
      <c r="K98" t="s">
        <v>427</v>
      </c>
      <c r="L98" t="s">
        <v>428</v>
      </c>
      <c r="M98" t="s">
        <v>429</v>
      </c>
      <c r="N98" t="s">
        <v>47</v>
      </c>
      <c r="O98" t="s">
        <v>48</v>
      </c>
      <c r="P98" t="s">
        <v>48</v>
      </c>
      <c r="Q98" t="s">
        <v>430</v>
      </c>
      <c r="R98" t="s">
        <v>37</v>
      </c>
      <c r="S98" t="s">
        <v>431</v>
      </c>
      <c r="T98">
        <v>110889</v>
      </c>
      <c r="U98">
        <v>0</v>
      </c>
      <c r="V98" t="s">
        <v>48</v>
      </c>
      <c r="W98" t="str">
        <f>"Office Manager"</f>
        <v>Office Manager</v>
      </c>
      <c r="X98" s="1">
        <v>36161</v>
      </c>
      <c r="Y98" t="str">
        <f>"American Eagle Electric"</f>
        <v>American Eagle Electric</v>
      </c>
      <c r="Z98" t="str">
        <f>"1-8455691017"</f>
        <v>1-8455691017</v>
      </c>
      <c r="AA98" t="str">
        <f>"80 S. Colden Street"</f>
        <v>80 S. Colden Street</v>
      </c>
      <c r="AB98" t="str">
        <f>"na"</f>
        <v>na</v>
      </c>
      <c r="AC98" t="str">
        <f>"Newburgh"</f>
        <v>Newburgh</v>
      </c>
      <c r="AD98" t="str">
        <f>"NY"</f>
        <v>NY</v>
      </c>
      <c r="AE98" t="str">
        <f>"12550"</f>
        <v>12550</v>
      </c>
      <c r="AF98" t="s">
        <v>51</v>
      </c>
      <c r="AG98" t="str">
        <f>"1000000"</f>
        <v>1000000</v>
      </c>
      <c r="AH98" t="str">
        <f>"electrician"</f>
        <v>electrician</v>
      </c>
      <c r="AI98" t="str">
        <f>"Trade contract you are interested in bidding (use semi-colon to seperate each listing)"</f>
        <v>Trade contract you are interested in bidding (use semi-colon to seperate each listing)</v>
      </c>
      <c r="AJ98" t="str">
        <f>"2000000"</f>
        <v>2000000</v>
      </c>
    </row>
    <row r="99" spans="1:36" x14ac:dyDescent="0.35">
      <c r="A99">
        <v>97</v>
      </c>
      <c r="B99" t="str">
        <f t="shared" ref="B99:B130" si="7">"203620166296150098"</f>
        <v>203620166296150098</v>
      </c>
      <c r="C99">
        <v>1720138377</v>
      </c>
      <c r="D99" t="s">
        <v>37</v>
      </c>
      <c r="E99" t="s">
        <v>38</v>
      </c>
      <c r="F99" t="s">
        <v>39</v>
      </c>
      <c r="G99" t="s">
        <v>40</v>
      </c>
      <c r="H99" t="s">
        <v>41</v>
      </c>
      <c r="I99" t="s">
        <v>42</v>
      </c>
      <c r="J99" t="s">
        <v>43</v>
      </c>
      <c r="K99" t="s">
        <v>432</v>
      </c>
      <c r="L99" t="s">
        <v>433</v>
      </c>
      <c r="M99" t="s">
        <v>434</v>
      </c>
      <c r="N99" t="s">
        <v>47</v>
      </c>
      <c r="O99" t="s">
        <v>48</v>
      </c>
      <c r="P99" t="s">
        <v>48</v>
      </c>
      <c r="Q99" t="s">
        <v>435</v>
      </c>
      <c r="R99" t="s">
        <v>37</v>
      </c>
      <c r="S99" t="s">
        <v>436</v>
      </c>
      <c r="T99">
        <v>893013</v>
      </c>
      <c r="U99">
        <v>0</v>
      </c>
      <c r="V99" t="s">
        <v>48</v>
      </c>
      <c r="W99" t="str">
        <f>"VP"</f>
        <v>VP</v>
      </c>
      <c r="X99" s="1">
        <v>36161</v>
      </c>
      <c r="Y99" t="str">
        <f>"Commodore Construction"</f>
        <v>Commodore Construction</v>
      </c>
      <c r="Z99" t="str">
        <f>"1-9142973038"</f>
        <v>1-9142973038</v>
      </c>
      <c r="AA99" t="str">
        <f>"602 South Third Avenue"</f>
        <v>602 South Third Avenue</v>
      </c>
      <c r="AB99" t="str">
        <f>"602 South Third Avenue"</f>
        <v>602 South Third Avenue</v>
      </c>
      <c r="AC99" t="str">
        <f>"Mount Vernon"</f>
        <v>Mount Vernon</v>
      </c>
      <c r="AD99" t="str">
        <f>"NY"</f>
        <v>NY</v>
      </c>
      <c r="AE99" t="str">
        <f>"10550"</f>
        <v>10550</v>
      </c>
      <c r="AF99" t="s">
        <v>51</v>
      </c>
      <c r="AG99" t="str">
        <f>"1000000"</f>
        <v>1000000</v>
      </c>
      <c r="AH99" t="str">
        <f>"Drywall:concrete:masonry:metal glass:Wet trade:Resious Flooring:General Construction"</f>
        <v>Drywall:concrete:masonry:metal glass:Wet trade:Resious Flooring:General Construction</v>
      </c>
      <c r="AI99" t="str">
        <f>"Is your firm a NYS Certified WBE?|Is your firm a Certified MBE?|Trade contract you are interested in bidding (use semi-colon to seperate each listing)|Has your firm worked on DASNY projects as a prime or sub-contractor?"</f>
        <v>Is your firm a NYS Certified WBE?|Is your firm a Certified MBE?|Trade contract you are interested in bidding (use semi-colon to seperate each listing)|Has your firm worked on DASNY projects as a prime or sub-contractor?</v>
      </c>
      <c r="AJ99" t="str">
        <f>"1000000"</f>
        <v>1000000</v>
      </c>
    </row>
    <row r="100" spans="1:36" x14ac:dyDescent="0.35">
      <c r="A100">
        <v>98</v>
      </c>
      <c r="B100" t="str">
        <f t="shared" si="7"/>
        <v>203620166296150098</v>
      </c>
      <c r="C100">
        <v>1720138377</v>
      </c>
      <c r="D100" t="s">
        <v>37</v>
      </c>
      <c r="E100" t="s">
        <v>38</v>
      </c>
      <c r="F100" t="s">
        <v>39</v>
      </c>
      <c r="G100" t="s">
        <v>40</v>
      </c>
      <c r="H100" t="s">
        <v>41</v>
      </c>
      <c r="I100" t="s">
        <v>42</v>
      </c>
      <c r="J100" t="s">
        <v>43</v>
      </c>
      <c r="K100" t="s">
        <v>437</v>
      </c>
      <c r="L100" t="s">
        <v>438</v>
      </c>
      <c r="M100" t="s">
        <v>439</v>
      </c>
      <c r="N100" t="s">
        <v>47</v>
      </c>
      <c r="O100" t="s">
        <v>48</v>
      </c>
      <c r="P100" t="s">
        <v>48</v>
      </c>
      <c r="Q100" t="s">
        <v>143</v>
      </c>
      <c r="R100" t="s">
        <v>37</v>
      </c>
      <c r="S100" t="s">
        <v>440</v>
      </c>
      <c r="T100">
        <v>425110</v>
      </c>
      <c r="U100">
        <v>0</v>
      </c>
      <c r="V100" t="s">
        <v>47</v>
      </c>
      <c r="W100" t="str">
        <f>"Biz Dev"</f>
        <v>Biz Dev</v>
      </c>
      <c r="X100" s="1">
        <v>36161</v>
      </c>
      <c r="Y100" t="str">
        <f>"Greenway USA"</f>
        <v>Greenway USA</v>
      </c>
      <c r="Z100" t="str">
        <f>"1-6468337127"</f>
        <v>1-6468337127</v>
      </c>
      <c r="AA100" t="str">
        <f>"264 W. 40th Street, Suite 1101"</f>
        <v>264 W. 40th Street, Suite 1101</v>
      </c>
      <c r="AB100" t="str">
        <f>"6th Floor"</f>
        <v>6th Floor</v>
      </c>
      <c r="AC100" t="str">
        <f>"New York"</f>
        <v>New York</v>
      </c>
      <c r="AD100" t="str">
        <f>"NY"</f>
        <v>NY</v>
      </c>
      <c r="AE100" t="str">
        <f>"10018"</f>
        <v>10018</v>
      </c>
      <c r="AF100" t="s">
        <v>51</v>
      </c>
      <c r="AG100" t="str">
        <f>""</f>
        <v/>
      </c>
      <c r="AH100" t="str">
        <f>"Construction"</f>
        <v>Construction</v>
      </c>
      <c r="AI100" t="str">
        <f>"Is your firm a NYS Certified SVDOB?"</f>
        <v>Is your firm a NYS Certified SVDOB?</v>
      </c>
      <c r="AJ100" t="str">
        <f>""</f>
        <v/>
      </c>
    </row>
    <row r="101" spans="1:36" x14ac:dyDescent="0.35">
      <c r="A101">
        <v>99</v>
      </c>
      <c r="B101" t="str">
        <f t="shared" si="7"/>
        <v>203620166296150098</v>
      </c>
      <c r="C101">
        <v>1720138377</v>
      </c>
      <c r="D101" t="s">
        <v>37</v>
      </c>
      <c r="E101" t="s">
        <v>38</v>
      </c>
      <c r="F101" t="s">
        <v>39</v>
      </c>
      <c r="G101" t="s">
        <v>40</v>
      </c>
      <c r="H101" t="s">
        <v>41</v>
      </c>
      <c r="I101" t="s">
        <v>42</v>
      </c>
      <c r="J101" t="s">
        <v>43</v>
      </c>
      <c r="K101" t="s">
        <v>441</v>
      </c>
      <c r="L101" t="s">
        <v>442</v>
      </c>
      <c r="M101" t="s">
        <v>443</v>
      </c>
      <c r="N101" t="s">
        <v>47</v>
      </c>
      <c r="O101" t="s">
        <v>48</v>
      </c>
      <c r="P101" t="s">
        <v>48</v>
      </c>
      <c r="Q101" t="s">
        <v>163</v>
      </c>
      <c r="R101" t="s">
        <v>37</v>
      </c>
      <c r="S101" t="s">
        <v>444</v>
      </c>
      <c r="T101">
        <v>658283</v>
      </c>
      <c r="U101">
        <v>0</v>
      </c>
      <c r="V101" t="s">
        <v>48</v>
      </c>
      <c r="W101" t="str">
        <f>"President"</f>
        <v>President</v>
      </c>
      <c r="X101" s="1">
        <v>36161</v>
      </c>
      <c r="Y101" t="str">
        <f>"Avenue Contracting Inc"</f>
        <v>Avenue Contracting Inc</v>
      </c>
      <c r="Z101" t="str">
        <f>"1-718-677-1800"</f>
        <v>1-718-677-1800</v>
      </c>
      <c r="AA101" t="str">
        <f>"67-23"</f>
        <v>67-23</v>
      </c>
      <c r="AB101" t="str">
        <f>"Fresh Meadow Ln"</f>
        <v>Fresh Meadow Ln</v>
      </c>
      <c r="AC101" t="str">
        <f>"Fresh meadows"</f>
        <v>Fresh meadows</v>
      </c>
      <c r="AD101" t="str">
        <f>"New York"</f>
        <v>New York</v>
      </c>
      <c r="AE101" t="str">
        <f>"11365"</f>
        <v>11365</v>
      </c>
      <c r="AF101" t="s">
        <v>51</v>
      </c>
      <c r="AG101" t="str">
        <f>"5,000,000.00"</f>
        <v>5,000,000.00</v>
      </c>
      <c r="AH101" t="str">
        <f>"General Construction"</f>
        <v>General Construction</v>
      </c>
      <c r="AI101" t="str">
        <f>"Is your firm a Certified MBE?|Has your firm worked on DASNY projects as a prime or sub-contractor?"</f>
        <v>Is your firm a Certified MBE?|Has your firm worked on DASNY projects as a prime or sub-contractor?</v>
      </c>
      <c r="AJ101" t="str">
        <f>"10,000,000.00"</f>
        <v>10,000,000.00</v>
      </c>
    </row>
    <row r="102" spans="1:36" x14ac:dyDescent="0.35">
      <c r="A102">
        <v>100</v>
      </c>
      <c r="B102" t="str">
        <f t="shared" si="7"/>
        <v>203620166296150098</v>
      </c>
      <c r="C102">
        <v>1720138377</v>
      </c>
      <c r="D102" t="s">
        <v>37</v>
      </c>
      <c r="E102" t="s">
        <v>38</v>
      </c>
      <c r="F102" t="s">
        <v>39</v>
      </c>
      <c r="G102" t="s">
        <v>40</v>
      </c>
      <c r="H102" t="s">
        <v>41</v>
      </c>
      <c r="I102" t="s">
        <v>42</v>
      </c>
      <c r="J102" t="s">
        <v>43</v>
      </c>
      <c r="K102" t="s">
        <v>445</v>
      </c>
      <c r="L102" t="s">
        <v>446</v>
      </c>
      <c r="M102" t="s">
        <v>447</v>
      </c>
      <c r="N102" t="s">
        <v>47</v>
      </c>
      <c r="O102" t="s">
        <v>48</v>
      </c>
      <c r="P102" t="s">
        <v>48</v>
      </c>
      <c r="Q102" t="s">
        <v>143</v>
      </c>
      <c r="R102" t="s">
        <v>37</v>
      </c>
      <c r="S102" t="s">
        <v>448</v>
      </c>
      <c r="T102">
        <v>375301</v>
      </c>
      <c r="U102">
        <v>0</v>
      </c>
      <c r="V102" t="s">
        <v>48</v>
      </c>
      <c r="W102" t="str">
        <f>"General Manager"</f>
        <v>General Manager</v>
      </c>
      <c r="X102" s="1">
        <v>36161</v>
      </c>
      <c r="Y102" t="str">
        <f>"ace contracting inc"</f>
        <v>ace contracting inc</v>
      </c>
      <c r="Z102" t="str">
        <f>"1-7189988437"</f>
        <v>1-7189988437</v>
      </c>
      <c r="AA102" t="str">
        <f>"1990 Coney Island Avenue"</f>
        <v>1990 Coney Island Avenue</v>
      </c>
      <c r="AB102" t="str">
        <f>"Ground floor"</f>
        <v>Ground floor</v>
      </c>
      <c r="AC102" t="str">
        <f>"Brooklyn"</f>
        <v>Brooklyn</v>
      </c>
      <c r="AD102" t="str">
        <f>"New York"</f>
        <v>New York</v>
      </c>
      <c r="AE102" t="str">
        <f>"11223"</f>
        <v>11223</v>
      </c>
      <c r="AF102" t="s">
        <v>51</v>
      </c>
      <c r="AG102" t="str">
        <f>"Varies"</f>
        <v>Varies</v>
      </c>
      <c r="AH102" t="str">
        <f>"Plumbing and Fire Suppression"</f>
        <v>Plumbing and Fire Suppression</v>
      </c>
      <c r="AI102" t="s">
        <v>309</v>
      </c>
      <c r="AJ102" t="str">
        <f>"5000000"</f>
        <v>5000000</v>
      </c>
    </row>
    <row r="103" spans="1:36" x14ac:dyDescent="0.35">
      <c r="A103">
        <v>101</v>
      </c>
      <c r="B103" t="str">
        <f t="shared" si="7"/>
        <v>203620166296150098</v>
      </c>
      <c r="C103">
        <v>1720138377</v>
      </c>
      <c r="D103" t="s">
        <v>37</v>
      </c>
      <c r="E103" t="s">
        <v>38</v>
      </c>
      <c r="F103" t="s">
        <v>39</v>
      </c>
      <c r="G103" t="s">
        <v>40</v>
      </c>
      <c r="H103" t="s">
        <v>41</v>
      </c>
      <c r="I103" t="s">
        <v>42</v>
      </c>
      <c r="J103" t="s">
        <v>106</v>
      </c>
      <c r="K103" t="s">
        <v>107</v>
      </c>
      <c r="L103" t="s">
        <v>108</v>
      </c>
      <c r="M103" t="s">
        <v>109</v>
      </c>
      <c r="N103" t="s">
        <v>48</v>
      </c>
      <c r="O103" t="s">
        <v>48</v>
      </c>
      <c r="P103" t="s">
        <v>48</v>
      </c>
      <c r="Q103" t="s">
        <v>84</v>
      </c>
      <c r="R103" t="s">
        <v>37</v>
      </c>
      <c r="S103" t="s">
        <v>111</v>
      </c>
      <c r="T103">
        <v>123030</v>
      </c>
      <c r="U103">
        <v>0</v>
      </c>
      <c r="V103" t="s">
        <v>47</v>
      </c>
      <c r="W103" t="str">
        <f>"Sr Director OPG"</f>
        <v>Sr Director OPG</v>
      </c>
      <c r="X103" s="1">
        <v>36161</v>
      </c>
      <c r="Y103" t="str">
        <f>"DASNY"</f>
        <v>DASNY</v>
      </c>
      <c r="Z103" t="str">
        <f>"1-5182573000"</f>
        <v>1-5182573000</v>
      </c>
      <c r="AA103" t="str">
        <f>"515 Broadway"</f>
        <v>515 Broadway</v>
      </c>
      <c r="AB103" t="str">
        <f>"3rd floor"</f>
        <v>3rd floor</v>
      </c>
      <c r="AC103" t="str">
        <f>"Albany"</f>
        <v>Albany</v>
      </c>
      <c r="AD103" t="str">
        <f>"NY"</f>
        <v>NY</v>
      </c>
      <c r="AE103" t="str">
        <f>"12207"</f>
        <v>12207</v>
      </c>
      <c r="AF103" t="s">
        <v>51</v>
      </c>
      <c r="AG103" t="str">
        <f>"5M"</f>
        <v>5M</v>
      </c>
      <c r="AH103" t="str">
        <f>"OPG"</f>
        <v>OPG</v>
      </c>
      <c r="AI103" t="str">
        <f>"Is your firm a NYS Certified WBE?"</f>
        <v>Is your firm a NYS Certified WBE?</v>
      </c>
      <c r="AJ103" t="str">
        <f>"40M"</f>
        <v>40M</v>
      </c>
    </row>
    <row r="104" spans="1:36" x14ac:dyDescent="0.35">
      <c r="A104">
        <v>102</v>
      </c>
      <c r="B104" t="str">
        <f t="shared" si="7"/>
        <v>203620166296150098</v>
      </c>
      <c r="C104">
        <v>1720138377</v>
      </c>
      <c r="D104" t="s">
        <v>37</v>
      </c>
      <c r="E104" t="s">
        <v>38</v>
      </c>
      <c r="F104" t="s">
        <v>39</v>
      </c>
      <c r="G104" t="s">
        <v>40</v>
      </c>
      <c r="H104" t="s">
        <v>41</v>
      </c>
      <c r="I104" t="s">
        <v>42</v>
      </c>
      <c r="J104" t="s">
        <v>106</v>
      </c>
      <c r="K104" t="s">
        <v>107</v>
      </c>
      <c r="L104" t="s">
        <v>108</v>
      </c>
      <c r="M104" t="s">
        <v>109</v>
      </c>
      <c r="N104" t="s">
        <v>48</v>
      </c>
      <c r="O104" t="s">
        <v>48</v>
      </c>
      <c r="P104" t="s">
        <v>48</v>
      </c>
      <c r="Q104" t="s">
        <v>449</v>
      </c>
      <c r="R104" t="s">
        <v>37</v>
      </c>
      <c r="S104" t="s">
        <v>111</v>
      </c>
      <c r="T104">
        <v>123030</v>
      </c>
      <c r="U104">
        <v>0</v>
      </c>
      <c r="V104" t="s">
        <v>47</v>
      </c>
      <c r="W104" t="str">
        <f>"Sr Director OPG"</f>
        <v>Sr Director OPG</v>
      </c>
      <c r="X104" s="1">
        <v>36161</v>
      </c>
      <c r="Y104" t="str">
        <f>"DASNY"</f>
        <v>DASNY</v>
      </c>
      <c r="Z104" t="str">
        <f>"1-5182573000"</f>
        <v>1-5182573000</v>
      </c>
      <c r="AA104" t="str">
        <f>"515 Broadway"</f>
        <v>515 Broadway</v>
      </c>
      <c r="AB104" t="str">
        <f>"3rd floor"</f>
        <v>3rd floor</v>
      </c>
      <c r="AC104" t="str">
        <f>"Albany"</f>
        <v>Albany</v>
      </c>
      <c r="AD104" t="str">
        <f>"NY"</f>
        <v>NY</v>
      </c>
      <c r="AE104" t="str">
        <f>"12207"</f>
        <v>12207</v>
      </c>
      <c r="AF104" t="s">
        <v>51</v>
      </c>
      <c r="AG104" t="str">
        <f>"5M"</f>
        <v>5M</v>
      </c>
      <c r="AH104" t="str">
        <f>"OPG"</f>
        <v>OPG</v>
      </c>
      <c r="AI104" t="str">
        <f>"Is your firm a NYS Certified WBE?"</f>
        <v>Is your firm a NYS Certified WBE?</v>
      </c>
      <c r="AJ104" t="str">
        <f>"40M"</f>
        <v>40M</v>
      </c>
    </row>
    <row r="105" spans="1:36" x14ac:dyDescent="0.35">
      <c r="A105">
        <v>103</v>
      </c>
      <c r="B105" t="str">
        <f t="shared" si="7"/>
        <v>203620166296150098</v>
      </c>
      <c r="C105">
        <v>1720138377</v>
      </c>
      <c r="D105" t="s">
        <v>37</v>
      </c>
      <c r="E105" t="s">
        <v>38</v>
      </c>
      <c r="F105" t="s">
        <v>39</v>
      </c>
      <c r="G105" t="s">
        <v>40</v>
      </c>
      <c r="H105" t="s">
        <v>41</v>
      </c>
      <c r="I105" t="s">
        <v>42</v>
      </c>
      <c r="J105" t="s">
        <v>43</v>
      </c>
      <c r="K105" t="s">
        <v>450</v>
      </c>
      <c r="L105" t="s">
        <v>451</v>
      </c>
      <c r="M105" t="s">
        <v>452</v>
      </c>
      <c r="N105" t="s">
        <v>47</v>
      </c>
      <c r="O105" t="s">
        <v>48</v>
      </c>
      <c r="P105" t="s">
        <v>48</v>
      </c>
      <c r="Q105" t="s">
        <v>453</v>
      </c>
      <c r="R105" t="s">
        <v>37</v>
      </c>
      <c r="S105" t="s">
        <v>454</v>
      </c>
      <c r="T105">
        <v>200563</v>
      </c>
      <c r="U105">
        <v>0</v>
      </c>
      <c r="V105" t="s">
        <v>47</v>
      </c>
      <c r="W105" t="str">
        <f>"owner"</f>
        <v>owner</v>
      </c>
      <c r="X105" s="1">
        <v>36161</v>
      </c>
      <c r="Y105" t="str">
        <f>"Aleut Electric"</f>
        <v>Aleut Electric</v>
      </c>
      <c r="Z105" t="str">
        <f>"1-6076564173"</f>
        <v>1-6076564173</v>
      </c>
      <c r="AA105" t="str">
        <f>"691 Hotchkiss Road"</f>
        <v>691 Hotchkiss Road</v>
      </c>
      <c r="AB105" t="str">
        <f>"691 Hotchkiss Road"</f>
        <v>691 Hotchkiss Road</v>
      </c>
      <c r="AC105" t="str">
        <f>"Greene"</f>
        <v>Greene</v>
      </c>
      <c r="AD105" t="str">
        <f>"ny"</f>
        <v>ny</v>
      </c>
      <c r="AE105" t="str">
        <f>"13778"</f>
        <v>13778</v>
      </c>
      <c r="AF105" t="s">
        <v>51</v>
      </c>
      <c r="AG105" t="str">
        <f>""</f>
        <v/>
      </c>
      <c r="AH105" t="str">
        <f>"Electrical"</f>
        <v>Electrical</v>
      </c>
      <c r="AI105" t="str">
        <f>"Is your firm a NYS Certified WBE?|Is your firm a Certified MBE?|Has your firm worked on DASNY projects as a prime or sub-contractor?"</f>
        <v>Is your firm a NYS Certified WBE?|Is your firm a Certified MBE?|Has your firm worked on DASNY projects as a prime or sub-contractor?</v>
      </c>
      <c r="AJ105" t="str">
        <f>""</f>
        <v/>
      </c>
    </row>
    <row r="106" spans="1:36" x14ac:dyDescent="0.35">
      <c r="A106">
        <v>104</v>
      </c>
      <c r="B106" t="str">
        <f t="shared" si="7"/>
        <v>203620166296150098</v>
      </c>
      <c r="C106">
        <v>1720138377</v>
      </c>
      <c r="D106" t="s">
        <v>37</v>
      </c>
      <c r="E106" t="s">
        <v>38</v>
      </c>
      <c r="F106" t="s">
        <v>39</v>
      </c>
      <c r="G106" t="s">
        <v>40</v>
      </c>
      <c r="H106" t="s">
        <v>41</v>
      </c>
      <c r="I106" t="s">
        <v>42</v>
      </c>
      <c r="J106" t="s">
        <v>106</v>
      </c>
      <c r="K106" t="s">
        <v>107</v>
      </c>
      <c r="L106" t="s">
        <v>108</v>
      </c>
      <c r="M106" t="s">
        <v>109</v>
      </c>
      <c r="N106" t="s">
        <v>48</v>
      </c>
      <c r="O106" t="s">
        <v>48</v>
      </c>
      <c r="P106" t="s">
        <v>48</v>
      </c>
      <c r="Q106" t="s">
        <v>455</v>
      </c>
      <c r="R106" t="s">
        <v>37</v>
      </c>
      <c r="S106" t="s">
        <v>111</v>
      </c>
      <c r="T106">
        <v>123030</v>
      </c>
      <c r="U106">
        <v>0</v>
      </c>
      <c r="V106" t="s">
        <v>47</v>
      </c>
      <c r="W106" t="str">
        <f>"Sr Director OPG"</f>
        <v>Sr Director OPG</v>
      </c>
      <c r="X106" s="1">
        <v>36161</v>
      </c>
      <c r="Y106" t="str">
        <f>"DASNY"</f>
        <v>DASNY</v>
      </c>
      <c r="Z106" t="str">
        <f>"1-5182573000"</f>
        <v>1-5182573000</v>
      </c>
      <c r="AA106" t="str">
        <f>"515 Broadway"</f>
        <v>515 Broadway</v>
      </c>
      <c r="AB106" t="str">
        <f>"3rd floor"</f>
        <v>3rd floor</v>
      </c>
      <c r="AC106" t="str">
        <f>"Albany"</f>
        <v>Albany</v>
      </c>
      <c r="AD106" t="str">
        <f>"NY"</f>
        <v>NY</v>
      </c>
      <c r="AE106" t="str">
        <f>"12207"</f>
        <v>12207</v>
      </c>
      <c r="AF106" t="s">
        <v>51</v>
      </c>
      <c r="AG106" t="str">
        <f>"5M"</f>
        <v>5M</v>
      </c>
      <c r="AH106" t="str">
        <f>"OPG"</f>
        <v>OPG</v>
      </c>
      <c r="AI106" t="str">
        <f>"Is your firm a NYS Certified WBE?"</f>
        <v>Is your firm a NYS Certified WBE?</v>
      </c>
      <c r="AJ106" t="str">
        <f>"40M"</f>
        <v>40M</v>
      </c>
    </row>
    <row r="107" spans="1:36" x14ac:dyDescent="0.35">
      <c r="A107">
        <v>105</v>
      </c>
      <c r="B107" t="str">
        <f t="shared" si="7"/>
        <v>203620166296150098</v>
      </c>
      <c r="C107">
        <v>1720138377</v>
      </c>
      <c r="D107" t="s">
        <v>37</v>
      </c>
      <c r="E107" t="s">
        <v>38</v>
      </c>
      <c r="F107" t="s">
        <v>39</v>
      </c>
      <c r="G107" t="s">
        <v>40</v>
      </c>
      <c r="H107" t="s">
        <v>41</v>
      </c>
      <c r="I107" t="s">
        <v>42</v>
      </c>
      <c r="J107" t="s">
        <v>43</v>
      </c>
      <c r="K107" t="s">
        <v>456</v>
      </c>
      <c r="L107" t="s">
        <v>457</v>
      </c>
      <c r="M107" t="s">
        <v>458</v>
      </c>
      <c r="N107" t="s">
        <v>47</v>
      </c>
      <c r="O107" t="s">
        <v>48</v>
      </c>
      <c r="P107" t="s">
        <v>48</v>
      </c>
      <c r="Q107" t="s">
        <v>459</v>
      </c>
      <c r="R107" t="s">
        <v>37</v>
      </c>
      <c r="S107" t="s">
        <v>460</v>
      </c>
      <c r="T107">
        <v>495999</v>
      </c>
      <c r="U107">
        <v>0</v>
      </c>
      <c r="V107" t="s">
        <v>48</v>
      </c>
      <c r="W107" t="str">
        <f>"Construction Services Manager"</f>
        <v>Construction Services Manager</v>
      </c>
      <c r="X107" t="s">
        <v>179</v>
      </c>
      <c r="Y107" t="str">
        <f>"Mamais Construcion"</f>
        <v>Mamais Construcion</v>
      </c>
      <c r="Z107" t="str">
        <f>"1-6462566484"</f>
        <v>1-6462566484</v>
      </c>
      <c r="AA107" t="str">
        <f>"256"</f>
        <v>256</v>
      </c>
      <c r="AB107" t="str">
        <f>"West 124th Street"</f>
        <v>West 124th Street</v>
      </c>
      <c r="AC107" t="str">
        <f>"New York"</f>
        <v>New York</v>
      </c>
      <c r="AD107" t="str">
        <f>"NY"</f>
        <v>NY</v>
      </c>
      <c r="AE107" t="str">
        <f>"10027"</f>
        <v>10027</v>
      </c>
      <c r="AF107" t="s">
        <v>51</v>
      </c>
      <c r="AG107" t="str">
        <f>""</f>
        <v/>
      </c>
      <c r="AH107" t="str">
        <f>"general contractor"</f>
        <v>general contractor</v>
      </c>
      <c r="AI107" t="str">
        <f>"Is your firm a NYS Certified WBE?|Has your firm bid on DASNY JOC contract soliciations?"</f>
        <v>Is your firm a NYS Certified WBE?|Has your firm bid on DASNY JOC contract soliciations?</v>
      </c>
      <c r="AJ107" t="str">
        <f>""</f>
        <v/>
      </c>
    </row>
    <row r="108" spans="1:36" x14ac:dyDescent="0.35">
      <c r="A108">
        <v>106</v>
      </c>
      <c r="B108" t="str">
        <f t="shared" si="7"/>
        <v>203620166296150098</v>
      </c>
      <c r="C108">
        <v>1720138377</v>
      </c>
      <c r="D108" t="s">
        <v>37</v>
      </c>
      <c r="E108" t="s">
        <v>38</v>
      </c>
      <c r="F108" t="s">
        <v>39</v>
      </c>
      <c r="G108" t="s">
        <v>40</v>
      </c>
      <c r="H108" t="s">
        <v>41</v>
      </c>
      <c r="I108" t="s">
        <v>42</v>
      </c>
      <c r="J108" t="s">
        <v>43</v>
      </c>
      <c r="K108" t="s">
        <v>461</v>
      </c>
      <c r="L108" t="s">
        <v>462</v>
      </c>
      <c r="M108" t="s">
        <v>463</v>
      </c>
      <c r="N108" t="s">
        <v>47</v>
      </c>
      <c r="O108" t="s">
        <v>48</v>
      </c>
      <c r="P108" t="s">
        <v>48</v>
      </c>
      <c r="Q108" t="s">
        <v>346</v>
      </c>
      <c r="R108" t="s">
        <v>37</v>
      </c>
      <c r="S108" t="s">
        <v>464</v>
      </c>
      <c r="T108">
        <v>489239</v>
      </c>
      <c r="U108">
        <v>0</v>
      </c>
      <c r="V108" t="s">
        <v>48</v>
      </c>
      <c r="W108" t="str">
        <f>"Account manager"</f>
        <v>Account manager</v>
      </c>
      <c r="X108" s="1">
        <v>36161</v>
      </c>
      <c r="Y108" t="str">
        <f>"Mechanical X Advantage"</f>
        <v>Mechanical X Advantage</v>
      </c>
      <c r="Z108" t="str">
        <f>"1-15185274055"</f>
        <v>1-15185274055</v>
      </c>
      <c r="AA108" t="str">
        <f>"90 State Street"</f>
        <v>90 State Street</v>
      </c>
      <c r="AB108" t="str">
        <f>"Suite 700"</f>
        <v>Suite 700</v>
      </c>
      <c r="AC108" t="str">
        <f>"Albany"</f>
        <v>Albany</v>
      </c>
      <c r="AD108" t="str">
        <f>"NY"</f>
        <v>NY</v>
      </c>
      <c r="AE108" t="str">
        <f>"12207"</f>
        <v>12207</v>
      </c>
      <c r="AF108" t="s">
        <v>51</v>
      </c>
      <c r="AG108" t="str">
        <f>""</f>
        <v/>
      </c>
      <c r="AH108" t="str">
        <f>"HVAC / Mechanical"</f>
        <v>HVAC / Mechanical</v>
      </c>
      <c r="AI108" t="str">
        <f>"Trade contract you are interested in bidding (use semi-colon to seperate each listing)|Has your firm worked on DASNY projects as a prime or sub-contractor?"</f>
        <v>Trade contract you are interested in bidding (use semi-colon to seperate each listing)|Has your firm worked on DASNY projects as a prime or sub-contractor?</v>
      </c>
      <c r="AJ108" t="str">
        <f>""</f>
        <v/>
      </c>
    </row>
    <row r="109" spans="1:36" x14ac:dyDescent="0.35">
      <c r="A109">
        <v>107</v>
      </c>
      <c r="B109" t="str">
        <f t="shared" si="7"/>
        <v>203620166296150098</v>
      </c>
      <c r="C109">
        <v>1720138377</v>
      </c>
      <c r="D109" t="s">
        <v>37</v>
      </c>
      <c r="E109" t="s">
        <v>38</v>
      </c>
      <c r="F109" t="s">
        <v>39</v>
      </c>
      <c r="G109" t="s">
        <v>40</v>
      </c>
      <c r="H109" t="s">
        <v>41</v>
      </c>
      <c r="I109" t="s">
        <v>42</v>
      </c>
      <c r="J109" t="s">
        <v>43</v>
      </c>
      <c r="K109" t="s">
        <v>465</v>
      </c>
      <c r="L109" t="s">
        <v>466</v>
      </c>
      <c r="M109" t="s">
        <v>467</v>
      </c>
      <c r="N109" t="s">
        <v>47</v>
      </c>
      <c r="O109" t="s">
        <v>48</v>
      </c>
      <c r="P109" t="s">
        <v>48</v>
      </c>
      <c r="Q109" t="s">
        <v>143</v>
      </c>
      <c r="R109" t="s">
        <v>37</v>
      </c>
      <c r="S109" t="s">
        <v>468</v>
      </c>
      <c r="T109">
        <v>426753</v>
      </c>
      <c r="U109">
        <v>0</v>
      </c>
      <c r="V109" t="s">
        <v>48</v>
      </c>
      <c r="W109" t="str">
        <f>"general manager"</f>
        <v>general manager</v>
      </c>
      <c r="X109" s="1">
        <v>36161</v>
      </c>
      <c r="Y109" t="str">
        <f>"Solid Rock construction"</f>
        <v>Solid Rock construction</v>
      </c>
      <c r="Z109" t="str">
        <f>"1-315 8076225"</f>
        <v>1-315 8076225</v>
      </c>
      <c r="AA109" t="str">
        <f>"212 Elizebath st"</f>
        <v>212 Elizebath st</v>
      </c>
      <c r="AB109" t="str">
        <f>"Elizabeth ST"</f>
        <v>Elizabeth ST</v>
      </c>
      <c r="AC109" t="str">
        <f>"syracuse"</f>
        <v>syracuse</v>
      </c>
      <c r="AD109" t="str">
        <f>"new york"</f>
        <v>new york</v>
      </c>
      <c r="AE109" t="str">
        <f>"13205"</f>
        <v>13205</v>
      </c>
      <c r="AF109" t="s">
        <v>51</v>
      </c>
      <c r="AG109" t="str">
        <f>"yes"</f>
        <v>yes</v>
      </c>
      <c r="AH109" t="str">
        <f>"all trade"</f>
        <v>all trade</v>
      </c>
      <c r="AI109" t="str">
        <f>"Is your firm a Certified MBE?"</f>
        <v>Is your firm a Certified MBE?</v>
      </c>
      <c r="AJ109" t="str">
        <f>"yes"</f>
        <v>yes</v>
      </c>
    </row>
    <row r="110" spans="1:36" x14ac:dyDescent="0.35">
      <c r="A110">
        <v>108</v>
      </c>
      <c r="B110" t="str">
        <f t="shared" si="7"/>
        <v>203620166296150098</v>
      </c>
      <c r="C110">
        <v>1720138377</v>
      </c>
      <c r="D110" t="s">
        <v>37</v>
      </c>
      <c r="E110" t="s">
        <v>38</v>
      </c>
      <c r="F110" t="s">
        <v>39</v>
      </c>
      <c r="G110" t="s">
        <v>40</v>
      </c>
      <c r="H110" t="s">
        <v>41</v>
      </c>
      <c r="I110" t="s">
        <v>42</v>
      </c>
      <c r="J110" t="s">
        <v>43</v>
      </c>
      <c r="K110" t="s">
        <v>469</v>
      </c>
      <c r="L110" t="s">
        <v>324</v>
      </c>
      <c r="M110" t="s">
        <v>470</v>
      </c>
      <c r="N110" t="s">
        <v>47</v>
      </c>
      <c r="O110" t="s">
        <v>48</v>
      </c>
      <c r="P110" t="s">
        <v>48</v>
      </c>
      <c r="Q110" t="s">
        <v>40</v>
      </c>
      <c r="R110" t="s">
        <v>37</v>
      </c>
      <c r="S110" t="s">
        <v>471</v>
      </c>
      <c r="T110">
        <v>125416</v>
      </c>
      <c r="U110">
        <v>0</v>
      </c>
      <c r="V110" t="s">
        <v>48</v>
      </c>
      <c r="W110" t="str">
        <f>"President"</f>
        <v>President</v>
      </c>
      <c r="X110" s="1">
        <v>36161</v>
      </c>
      <c r="Y110" t="str">
        <f>"Harry Construction Group Corp."</f>
        <v>Harry Construction Group Corp.</v>
      </c>
      <c r="Z110" t="str">
        <f>"1-7188507600"</f>
        <v>1-7188507600</v>
      </c>
      <c r="AA110" t="str">
        <f>"116-11 101 Ave Richmond Hill"</f>
        <v>116-11 101 Ave Richmond Hill</v>
      </c>
      <c r="AB110" t="str">
        <f>"116-11 101 Ave Richmond Hill"</f>
        <v>116-11 101 Ave Richmond Hill</v>
      </c>
      <c r="AC110" t="str">
        <f>"Queens"</f>
        <v>Queens</v>
      </c>
      <c r="AD110" t="str">
        <f>"New York"</f>
        <v>New York</v>
      </c>
      <c r="AE110" t="str">
        <f>"11419"</f>
        <v>11419</v>
      </c>
      <c r="AF110" t="s">
        <v>51</v>
      </c>
      <c r="AG110" t="str">
        <f>""</f>
        <v/>
      </c>
      <c r="AH110" t="str">
        <f>"Façade"</f>
        <v>Façade</v>
      </c>
      <c r="AI110" t="str">
        <f>"Is your firm a Certified MBE?"</f>
        <v>Is your firm a Certified MBE?</v>
      </c>
      <c r="AJ110" t="str">
        <f>""</f>
        <v/>
      </c>
    </row>
    <row r="111" spans="1:36" x14ac:dyDescent="0.35">
      <c r="A111">
        <v>109</v>
      </c>
      <c r="B111" t="str">
        <f t="shared" si="7"/>
        <v>203620166296150098</v>
      </c>
      <c r="C111">
        <v>1720138377</v>
      </c>
      <c r="D111" t="s">
        <v>37</v>
      </c>
      <c r="E111" t="s">
        <v>38</v>
      </c>
      <c r="F111" t="s">
        <v>39</v>
      </c>
      <c r="G111" t="s">
        <v>40</v>
      </c>
      <c r="H111" t="s">
        <v>41</v>
      </c>
      <c r="I111" t="s">
        <v>42</v>
      </c>
      <c r="J111" t="s">
        <v>43</v>
      </c>
      <c r="K111" t="s">
        <v>472</v>
      </c>
      <c r="L111" t="s">
        <v>473</v>
      </c>
      <c r="M111" t="s">
        <v>474</v>
      </c>
      <c r="N111" t="s">
        <v>47</v>
      </c>
      <c r="O111" t="s">
        <v>48</v>
      </c>
      <c r="P111" t="s">
        <v>48</v>
      </c>
      <c r="Q111" t="s">
        <v>168</v>
      </c>
      <c r="R111" t="s">
        <v>37</v>
      </c>
      <c r="S111" t="s">
        <v>475</v>
      </c>
      <c r="T111">
        <v>430558</v>
      </c>
      <c r="U111">
        <v>0</v>
      </c>
      <c r="V111" t="s">
        <v>48</v>
      </c>
      <c r="W111" t="str">
        <f>"CEO/President"</f>
        <v>CEO/President</v>
      </c>
      <c r="X111" s="1">
        <v>36161</v>
      </c>
      <c r="Y111" t="str">
        <f>"Infinity Contracting Services, Corp."</f>
        <v>Infinity Contracting Services, Corp.</v>
      </c>
      <c r="Z111" t="str">
        <f>"1-7187623200"</f>
        <v>1-7187623200</v>
      </c>
      <c r="AA111" t="str">
        <f>"112-20 14th ave"</f>
        <v>112-20 14th ave</v>
      </c>
      <c r="AB111" t="str">
        <f>"Ground FL"</f>
        <v>Ground FL</v>
      </c>
      <c r="AC111" t="str">
        <f>"College Point"</f>
        <v>College Point</v>
      </c>
      <c r="AD111" t="str">
        <f t="shared" ref="AD111:AD117" si="8">"NY"</f>
        <v>NY</v>
      </c>
      <c r="AE111" t="str">
        <f>"11356"</f>
        <v>11356</v>
      </c>
      <c r="AF111" t="s">
        <v>51</v>
      </c>
      <c r="AG111" t="str">
        <f>"50MM"</f>
        <v>50MM</v>
      </c>
      <c r="AH111" t="str">
        <f>"GC and HVAC"</f>
        <v>GC and HVAC</v>
      </c>
      <c r="AI111" t="str">
        <f>"Is your firm a NYS Certified WBE?|Is your firm a Certified MBE?|Has your firm worked on DASNY projects as a prime or sub-contractor?|Has your firm bid on DASNY JOC contract soliciations?"</f>
        <v>Is your firm a NYS Certified WBE?|Is your firm a Certified MBE?|Has your firm worked on DASNY projects as a prime or sub-contractor?|Has your firm bid on DASNY JOC contract soliciations?</v>
      </c>
      <c r="AJ111" t="str">
        <f>"150MM"</f>
        <v>150MM</v>
      </c>
    </row>
    <row r="112" spans="1:36" x14ac:dyDescent="0.35">
      <c r="A112">
        <v>110</v>
      </c>
      <c r="B112" t="str">
        <f t="shared" si="7"/>
        <v>203620166296150098</v>
      </c>
      <c r="C112">
        <v>1720138377</v>
      </c>
      <c r="D112" t="s">
        <v>37</v>
      </c>
      <c r="E112" t="s">
        <v>38</v>
      </c>
      <c r="F112" t="s">
        <v>39</v>
      </c>
      <c r="G112" t="s">
        <v>40</v>
      </c>
      <c r="H112" t="s">
        <v>41</v>
      </c>
      <c r="I112" t="s">
        <v>42</v>
      </c>
      <c r="J112" t="s">
        <v>106</v>
      </c>
      <c r="K112" t="s">
        <v>437</v>
      </c>
      <c r="L112" t="s">
        <v>476</v>
      </c>
      <c r="M112" t="s">
        <v>477</v>
      </c>
      <c r="N112" t="s">
        <v>48</v>
      </c>
      <c r="O112" t="s">
        <v>48</v>
      </c>
      <c r="P112" t="s">
        <v>48</v>
      </c>
      <c r="Q112" t="s">
        <v>56</v>
      </c>
      <c r="R112" t="s">
        <v>37</v>
      </c>
      <c r="S112" t="s">
        <v>478</v>
      </c>
      <c r="T112">
        <v>842276</v>
      </c>
      <c r="U112">
        <v>0</v>
      </c>
      <c r="V112" t="s">
        <v>48</v>
      </c>
      <c r="W112" t="str">
        <f>"DASNY"</f>
        <v>DASNY</v>
      </c>
      <c r="X112" s="1">
        <v>36161</v>
      </c>
      <c r="Y112" t="str">
        <f>"DASNY"</f>
        <v>DASNY</v>
      </c>
      <c r="Z112" t="str">
        <f>"1-5183392197"</f>
        <v>1-5183392197</v>
      </c>
      <c r="AA112" t="str">
        <f>"10 S HELDERBERG PKWY"</f>
        <v>10 S HELDERBERG PKWY</v>
      </c>
      <c r="AB112" t="str">
        <f>"House"</f>
        <v>House</v>
      </c>
      <c r="AC112" t="str">
        <f>"SLINGERLANDS"</f>
        <v>SLINGERLANDS</v>
      </c>
      <c r="AD112" t="str">
        <f t="shared" si="8"/>
        <v>NY</v>
      </c>
      <c r="AE112" t="str">
        <f>"12159"</f>
        <v>12159</v>
      </c>
      <c r="AF112" t="s">
        <v>51</v>
      </c>
      <c r="AG112" t="str">
        <f>""</f>
        <v/>
      </c>
      <c r="AH112" t="str">
        <f>"C+M"</f>
        <v>C+M</v>
      </c>
      <c r="AI112" t="str">
        <f>"Is your firm a NYS Certified WBE?"</f>
        <v>Is your firm a NYS Certified WBE?</v>
      </c>
      <c r="AJ112" t="str">
        <f>""</f>
        <v/>
      </c>
    </row>
    <row r="113" spans="1:36" x14ac:dyDescent="0.35">
      <c r="A113">
        <v>111</v>
      </c>
      <c r="B113" t="str">
        <f t="shared" si="7"/>
        <v>203620166296150098</v>
      </c>
      <c r="C113">
        <v>1720138377</v>
      </c>
      <c r="D113" t="s">
        <v>37</v>
      </c>
      <c r="E113" t="s">
        <v>38</v>
      </c>
      <c r="F113" t="s">
        <v>39</v>
      </c>
      <c r="G113" t="s">
        <v>40</v>
      </c>
      <c r="H113" t="s">
        <v>41</v>
      </c>
      <c r="I113" t="s">
        <v>42</v>
      </c>
      <c r="J113" t="s">
        <v>43</v>
      </c>
      <c r="K113" t="s">
        <v>479</v>
      </c>
      <c r="L113" t="s">
        <v>480</v>
      </c>
      <c r="M113" t="s">
        <v>481</v>
      </c>
      <c r="N113" t="s">
        <v>47</v>
      </c>
      <c r="O113" t="s">
        <v>48</v>
      </c>
      <c r="P113" t="s">
        <v>48</v>
      </c>
      <c r="Q113" t="s">
        <v>79</v>
      </c>
      <c r="R113" t="s">
        <v>37</v>
      </c>
      <c r="S113" t="s">
        <v>482</v>
      </c>
      <c r="T113">
        <v>462189</v>
      </c>
      <c r="U113">
        <v>0</v>
      </c>
      <c r="V113" t="s">
        <v>48</v>
      </c>
      <c r="W113" t="str">
        <f>"Executive Vice President"</f>
        <v>Executive Vice President</v>
      </c>
      <c r="X113" t="s">
        <v>179</v>
      </c>
      <c r="Y113" t="str">
        <f>"Volmar Construction, Inc."</f>
        <v>Volmar Construction, Inc.</v>
      </c>
      <c r="Z113" t="str">
        <f>"1-718 832 2444 "</f>
        <v xml:space="preserve">1-718 832 2444 </v>
      </c>
      <c r="AA113" t="str">
        <f>"4400 2nd Avenue"</f>
        <v>4400 2nd Avenue</v>
      </c>
      <c r="AB113" t="str">
        <f>"Main Floor"</f>
        <v>Main Floor</v>
      </c>
      <c r="AC113" t="str">
        <f>"Brooklyn"</f>
        <v>Brooklyn</v>
      </c>
      <c r="AD113" t="str">
        <f t="shared" si="8"/>
        <v>NY</v>
      </c>
      <c r="AE113" t="str">
        <f>"11232"</f>
        <v>11232</v>
      </c>
      <c r="AF113" t="s">
        <v>51</v>
      </c>
      <c r="AG113" t="str">
        <f>"$150,000,000.00"</f>
        <v>$150,000,000.00</v>
      </c>
      <c r="AH113" t="str">
        <f>"General Construction"</f>
        <v>General Construction</v>
      </c>
      <c r="AI113" t="str">
        <f>"Is your firm currently a DASNY JOC Contractor?|Has your firm worked on DASNY projects as a prime or sub-contractor?|Has your firm bid on DASNY JOC contract soliciations?"</f>
        <v>Is your firm currently a DASNY JOC Contractor?|Has your firm worked on DASNY projects as a prime or sub-contractor?|Has your firm bid on DASNY JOC contract soliciations?</v>
      </c>
      <c r="AJ113" t="str">
        <f>"$300,000,000.00"</f>
        <v>$300,000,000.00</v>
      </c>
    </row>
    <row r="114" spans="1:36" x14ac:dyDescent="0.35">
      <c r="A114">
        <v>112</v>
      </c>
      <c r="B114" t="str">
        <f t="shared" si="7"/>
        <v>203620166296150098</v>
      </c>
      <c r="C114">
        <v>1720138377</v>
      </c>
      <c r="D114" t="s">
        <v>37</v>
      </c>
      <c r="E114" t="s">
        <v>38</v>
      </c>
      <c r="F114" t="s">
        <v>39</v>
      </c>
      <c r="G114" t="s">
        <v>40</v>
      </c>
      <c r="H114" t="s">
        <v>41</v>
      </c>
      <c r="I114" t="s">
        <v>42</v>
      </c>
      <c r="J114" t="s">
        <v>43</v>
      </c>
      <c r="K114" t="s">
        <v>483</v>
      </c>
      <c r="L114" t="s">
        <v>484</v>
      </c>
      <c r="M114" t="s">
        <v>485</v>
      </c>
      <c r="N114" t="s">
        <v>47</v>
      </c>
      <c r="O114" t="s">
        <v>48</v>
      </c>
      <c r="P114" t="s">
        <v>48</v>
      </c>
      <c r="Q114" t="s">
        <v>93</v>
      </c>
      <c r="R114" t="s">
        <v>37</v>
      </c>
      <c r="S114" t="s">
        <v>486</v>
      </c>
      <c r="T114">
        <v>197216</v>
      </c>
      <c r="U114">
        <v>0</v>
      </c>
      <c r="V114" t="s">
        <v>47</v>
      </c>
      <c r="W114" t="str">
        <f>"Director of Project Development"</f>
        <v>Director of Project Development</v>
      </c>
      <c r="X114" t="s">
        <v>179</v>
      </c>
      <c r="Y114" t="str">
        <f>"EMCOR Services-Betlem"</f>
        <v>EMCOR Services-Betlem</v>
      </c>
      <c r="Z114" t="str">
        <f>"1-5852715500"</f>
        <v>1-5852715500</v>
      </c>
      <c r="AA114" t="str">
        <f>"704 Clinton Ave South"</f>
        <v>704 Clinton Ave South</v>
      </c>
      <c r="AB114" t="str">
        <f>"blank"</f>
        <v>blank</v>
      </c>
      <c r="AC114" t="str">
        <f>"Rochester"</f>
        <v>Rochester</v>
      </c>
      <c r="AD114" t="str">
        <f t="shared" si="8"/>
        <v>NY</v>
      </c>
      <c r="AE114" t="str">
        <f>"14620"</f>
        <v>14620</v>
      </c>
      <c r="AF114" t="s">
        <v>51</v>
      </c>
      <c r="AG114" t="str">
        <f>""</f>
        <v/>
      </c>
      <c r="AH114" t="str">
        <f>"Service"</f>
        <v>Service</v>
      </c>
      <c r="AI114" t="str">
        <f>"Trade contract you are interested in bidding (use semi-colon to seperate each listing)|Has your firm worked on DASNY projects as a prime or sub-contractor?"</f>
        <v>Trade contract you are interested in bidding (use semi-colon to seperate each listing)|Has your firm worked on DASNY projects as a prime or sub-contractor?</v>
      </c>
      <c r="AJ114" t="str">
        <f>""</f>
        <v/>
      </c>
    </row>
    <row r="115" spans="1:36" x14ac:dyDescent="0.35">
      <c r="A115">
        <v>113</v>
      </c>
      <c r="B115" t="str">
        <f t="shared" si="7"/>
        <v>203620166296150098</v>
      </c>
      <c r="C115">
        <v>1720138377</v>
      </c>
      <c r="D115" t="s">
        <v>37</v>
      </c>
      <c r="E115" t="s">
        <v>38</v>
      </c>
      <c r="F115" t="s">
        <v>39</v>
      </c>
      <c r="G115" t="s">
        <v>40</v>
      </c>
      <c r="H115" t="s">
        <v>41</v>
      </c>
      <c r="I115" t="s">
        <v>42</v>
      </c>
      <c r="J115" t="s">
        <v>43</v>
      </c>
      <c r="K115" t="s">
        <v>487</v>
      </c>
      <c r="L115" t="s">
        <v>488</v>
      </c>
      <c r="M115" t="s">
        <v>489</v>
      </c>
      <c r="N115" t="s">
        <v>47</v>
      </c>
      <c r="O115" t="s">
        <v>48</v>
      </c>
      <c r="P115" t="s">
        <v>48</v>
      </c>
      <c r="Q115" t="s">
        <v>40</v>
      </c>
      <c r="R115" t="s">
        <v>37</v>
      </c>
      <c r="S115" t="s">
        <v>490</v>
      </c>
      <c r="T115">
        <v>254151</v>
      </c>
      <c r="U115">
        <v>0</v>
      </c>
      <c r="V115" t="s">
        <v>48</v>
      </c>
      <c r="W115" t="str">
        <f>"President"</f>
        <v>President</v>
      </c>
      <c r="X115" s="1">
        <v>36161</v>
      </c>
      <c r="Y115" t="str">
        <f>"Mac Fhionnghaile &amp; Sons Electrical Contracting Inc."</f>
        <v>Mac Fhionnghaile &amp; Sons Electrical Contracting Inc.</v>
      </c>
      <c r="Z115" t="str">
        <f>"1-7325008274"</f>
        <v>1-7325008274</v>
      </c>
      <c r="AA115" t="str">
        <f>"85 Broad Street"</f>
        <v>85 Broad Street</v>
      </c>
      <c r="AB115" t="str">
        <f>"Unit 17-077"</f>
        <v>Unit 17-077</v>
      </c>
      <c r="AC115" t="str">
        <f>"New York"</f>
        <v>New York</v>
      </c>
      <c r="AD115" t="str">
        <f t="shared" si="8"/>
        <v>NY</v>
      </c>
      <c r="AE115" t="str">
        <f>"10004"</f>
        <v>10004</v>
      </c>
      <c r="AF115" t="s">
        <v>51</v>
      </c>
      <c r="AG115" t="str">
        <f>"5MM"</f>
        <v>5MM</v>
      </c>
      <c r="AH115" t="str">
        <f>"Electrical"</f>
        <v>Electrical</v>
      </c>
      <c r="AI115" t="s">
        <v>426</v>
      </c>
      <c r="AJ115" t="str">
        <f>"15MM"</f>
        <v>15MM</v>
      </c>
    </row>
    <row r="116" spans="1:36" x14ac:dyDescent="0.35">
      <c r="A116">
        <v>114</v>
      </c>
      <c r="B116" t="str">
        <f t="shared" si="7"/>
        <v>203620166296150098</v>
      </c>
      <c r="C116">
        <v>1720138377</v>
      </c>
      <c r="D116" t="s">
        <v>37</v>
      </c>
      <c r="E116" t="s">
        <v>38</v>
      </c>
      <c r="F116" t="s">
        <v>39</v>
      </c>
      <c r="G116" t="s">
        <v>40</v>
      </c>
      <c r="H116" t="s">
        <v>41</v>
      </c>
      <c r="I116" t="s">
        <v>42</v>
      </c>
      <c r="J116" t="s">
        <v>43</v>
      </c>
      <c r="K116" t="s">
        <v>86</v>
      </c>
      <c r="L116" t="s">
        <v>87</v>
      </c>
      <c r="M116" t="s">
        <v>88</v>
      </c>
      <c r="N116" t="s">
        <v>47</v>
      </c>
      <c r="O116" t="s">
        <v>48</v>
      </c>
      <c r="P116" t="s">
        <v>48</v>
      </c>
      <c r="Q116" t="s">
        <v>79</v>
      </c>
      <c r="R116" t="s">
        <v>37</v>
      </c>
      <c r="S116" t="s">
        <v>89</v>
      </c>
      <c r="T116">
        <v>178938</v>
      </c>
      <c r="U116">
        <v>0</v>
      </c>
      <c r="V116" t="s">
        <v>47</v>
      </c>
      <c r="W116" t="str">
        <f>"VP"</f>
        <v>VP</v>
      </c>
      <c r="X116" s="1">
        <v>36161</v>
      </c>
      <c r="Y116" t="str">
        <f>"Delphi Plumbing &amp; Heating, Inc."</f>
        <v>Delphi Plumbing &amp; Heating, Inc.</v>
      </c>
      <c r="Z116" t="str">
        <f>"1-7183697248"</f>
        <v>1-7183697248</v>
      </c>
      <c r="AA116" t="str">
        <f>"242, 43rd St"</f>
        <v>242, 43rd St</v>
      </c>
      <c r="AB116" t="str">
        <f>"43rd St"</f>
        <v>43rd St</v>
      </c>
      <c r="AC116" t="str">
        <f>"Brooklyn"</f>
        <v>Brooklyn</v>
      </c>
      <c r="AD116" t="str">
        <f t="shared" si="8"/>
        <v>NY</v>
      </c>
      <c r="AE116" t="str">
        <f>"11232"</f>
        <v>11232</v>
      </c>
      <c r="AF116" t="s">
        <v>51</v>
      </c>
      <c r="AG116" t="str">
        <f>""</f>
        <v/>
      </c>
      <c r="AH116" t="str">
        <f>"Plumbing, Mechanical, HVAC, GC"</f>
        <v>Plumbing, Mechanical, HVAC, GC</v>
      </c>
      <c r="AI116" t="str">
        <f>"Is your firm currently a DASNY JOC Contractor?|Has your firm worked on DASNY projects as a prime or sub-contractor?|Has your firm bid on DASNY JOC contract soliciations?"</f>
        <v>Is your firm currently a DASNY JOC Contractor?|Has your firm worked on DASNY projects as a prime or sub-contractor?|Has your firm bid on DASNY JOC contract soliciations?</v>
      </c>
      <c r="AJ116" t="str">
        <f>""</f>
        <v/>
      </c>
    </row>
    <row r="117" spans="1:36" x14ac:dyDescent="0.35">
      <c r="A117">
        <v>115</v>
      </c>
      <c r="B117" t="str">
        <f t="shared" si="7"/>
        <v>203620166296150098</v>
      </c>
      <c r="C117">
        <v>1720138377</v>
      </c>
      <c r="D117" t="s">
        <v>37</v>
      </c>
      <c r="E117" t="s">
        <v>38</v>
      </c>
      <c r="F117" t="s">
        <v>39</v>
      </c>
      <c r="G117" t="s">
        <v>40</v>
      </c>
      <c r="H117" t="s">
        <v>41</v>
      </c>
      <c r="I117" t="s">
        <v>42</v>
      </c>
      <c r="J117" t="s">
        <v>106</v>
      </c>
      <c r="K117" t="s">
        <v>107</v>
      </c>
      <c r="L117" t="s">
        <v>108</v>
      </c>
      <c r="M117" t="s">
        <v>109</v>
      </c>
      <c r="N117" t="s">
        <v>48</v>
      </c>
      <c r="O117" t="s">
        <v>48</v>
      </c>
      <c r="P117" t="s">
        <v>48</v>
      </c>
      <c r="Q117" t="s">
        <v>79</v>
      </c>
      <c r="R117" t="s">
        <v>37</v>
      </c>
      <c r="S117" t="s">
        <v>111</v>
      </c>
      <c r="T117">
        <v>123030</v>
      </c>
      <c r="U117">
        <v>0</v>
      </c>
      <c r="V117" t="s">
        <v>47</v>
      </c>
      <c r="W117" t="str">
        <f>"Sr Director OPG"</f>
        <v>Sr Director OPG</v>
      </c>
      <c r="X117" s="1">
        <v>36161</v>
      </c>
      <c r="Y117" t="str">
        <f>"DASNY"</f>
        <v>DASNY</v>
      </c>
      <c r="Z117" t="str">
        <f>"1-5182573000"</f>
        <v>1-5182573000</v>
      </c>
      <c r="AA117" t="str">
        <f>"515 Broadway"</f>
        <v>515 Broadway</v>
      </c>
      <c r="AB117" t="str">
        <f>"3rd floor"</f>
        <v>3rd floor</v>
      </c>
      <c r="AC117" t="str">
        <f>"Albany"</f>
        <v>Albany</v>
      </c>
      <c r="AD117" t="str">
        <f t="shared" si="8"/>
        <v>NY</v>
      </c>
      <c r="AE117" t="str">
        <f>"12207"</f>
        <v>12207</v>
      </c>
      <c r="AF117" t="s">
        <v>51</v>
      </c>
      <c r="AG117" t="str">
        <f>"5M"</f>
        <v>5M</v>
      </c>
      <c r="AH117" t="str">
        <f>"OPG"</f>
        <v>OPG</v>
      </c>
      <c r="AI117" t="str">
        <f>"Is your firm a NYS Certified WBE?"</f>
        <v>Is your firm a NYS Certified WBE?</v>
      </c>
      <c r="AJ117" t="str">
        <f>"40M"</f>
        <v>40M</v>
      </c>
    </row>
    <row r="118" spans="1:36" x14ac:dyDescent="0.35">
      <c r="A118">
        <v>116</v>
      </c>
      <c r="B118" t="str">
        <f t="shared" si="7"/>
        <v>203620166296150098</v>
      </c>
      <c r="C118">
        <v>1720138377</v>
      </c>
      <c r="D118" t="s">
        <v>37</v>
      </c>
      <c r="E118" t="s">
        <v>38</v>
      </c>
      <c r="F118" t="s">
        <v>39</v>
      </c>
      <c r="G118" t="s">
        <v>40</v>
      </c>
      <c r="H118" t="s">
        <v>41</v>
      </c>
      <c r="I118" t="s">
        <v>42</v>
      </c>
      <c r="J118" t="s">
        <v>43</v>
      </c>
      <c r="K118" t="s">
        <v>364</v>
      </c>
      <c r="L118" t="s">
        <v>365</v>
      </c>
      <c r="M118" t="s">
        <v>366</v>
      </c>
      <c r="N118" t="s">
        <v>47</v>
      </c>
      <c r="O118" t="s">
        <v>48</v>
      </c>
      <c r="P118" t="s">
        <v>48</v>
      </c>
      <c r="Q118" t="s">
        <v>98</v>
      </c>
      <c r="R118" t="s">
        <v>37</v>
      </c>
      <c r="S118" t="s">
        <v>368</v>
      </c>
      <c r="T118">
        <v>826530</v>
      </c>
      <c r="U118">
        <v>0</v>
      </c>
      <c r="V118" t="s">
        <v>47</v>
      </c>
      <c r="W118" t="str">
        <f>"OPG Program Analyst JOC Downstate"</f>
        <v>OPG Program Analyst JOC Downstate</v>
      </c>
      <c r="X118" s="1">
        <v>36161</v>
      </c>
      <c r="Y118" t="str">
        <f>"DASNY"</f>
        <v>DASNY</v>
      </c>
      <c r="Z118" t="str">
        <f>"1-518-727-9118"</f>
        <v>1-518-727-9118</v>
      </c>
      <c r="AA118" t="str">
        <f>"28 Liberty St"</f>
        <v>28 Liberty St</v>
      </c>
      <c r="AB118" t="str">
        <f>"New York, NY"</f>
        <v>New York, NY</v>
      </c>
      <c r="AC118" t="str">
        <f>"New York"</f>
        <v>New York</v>
      </c>
      <c r="AD118" t="str">
        <f>"10005"</f>
        <v>10005</v>
      </c>
      <c r="AE118" t="str">
        <f>"10005"</f>
        <v>10005</v>
      </c>
      <c r="AF118" t="s">
        <v>51</v>
      </c>
      <c r="AG118" t="str">
        <f>""</f>
        <v/>
      </c>
      <c r="AH118" t="str">
        <f>"DASNY OPG  Analyst"</f>
        <v>DASNY OPG  Analyst</v>
      </c>
      <c r="AI118" t="str">
        <f>"Is your firm currently a DASNY JOC Contractor?"</f>
        <v>Is your firm currently a DASNY JOC Contractor?</v>
      </c>
      <c r="AJ118" t="str">
        <f>""</f>
        <v/>
      </c>
    </row>
    <row r="119" spans="1:36" x14ac:dyDescent="0.35">
      <c r="A119">
        <v>117</v>
      </c>
      <c r="B119" t="str">
        <f t="shared" si="7"/>
        <v>203620166296150098</v>
      </c>
      <c r="C119">
        <v>1720138377</v>
      </c>
      <c r="D119" t="s">
        <v>37</v>
      </c>
      <c r="E119" t="s">
        <v>38</v>
      </c>
      <c r="F119" t="s">
        <v>39</v>
      </c>
      <c r="G119" t="s">
        <v>40</v>
      </c>
      <c r="H119" t="s">
        <v>41</v>
      </c>
      <c r="I119" t="s">
        <v>42</v>
      </c>
      <c r="J119" t="s">
        <v>43</v>
      </c>
      <c r="K119" t="s">
        <v>393</v>
      </c>
      <c r="L119" t="s">
        <v>266</v>
      </c>
      <c r="M119" t="s">
        <v>394</v>
      </c>
      <c r="N119" t="s">
        <v>47</v>
      </c>
      <c r="O119" t="s">
        <v>48</v>
      </c>
      <c r="P119" t="s">
        <v>48</v>
      </c>
      <c r="Q119" t="s">
        <v>209</v>
      </c>
      <c r="R119" t="s">
        <v>37</v>
      </c>
      <c r="S119" t="s">
        <v>395</v>
      </c>
      <c r="T119">
        <v>594631</v>
      </c>
      <c r="U119">
        <v>0</v>
      </c>
      <c r="V119" t="s">
        <v>48</v>
      </c>
      <c r="W119" t="str">
        <f>"President"</f>
        <v>President</v>
      </c>
      <c r="X119" s="1">
        <v>36161</v>
      </c>
      <c r="Y119" t="str">
        <f>"ABAE Enterprises, Inc."</f>
        <v>ABAE Enterprises, Inc.</v>
      </c>
      <c r="Z119" t="str">
        <f>"1-212.882.1471"</f>
        <v>1-212.882.1471</v>
      </c>
      <c r="AA119" t="str">
        <f>"207 West 137th Street"</f>
        <v>207 West 137th Street</v>
      </c>
      <c r="AB119" t="str">
        <f>"Suite B"</f>
        <v>Suite B</v>
      </c>
      <c r="AC119" t="str">
        <f>"New York"</f>
        <v>New York</v>
      </c>
      <c r="AD119" t="str">
        <f>"NY"</f>
        <v>NY</v>
      </c>
      <c r="AE119" t="str">
        <f>"10030"</f>
        <v>10030</v>
      </c>
      <c r="AF119" t="s">
        <v>51</v>
      </c>
      <c r="AG119" t="str">
        <f>"2 million"</f>
        <v>2 million</v>
      </c>
      <c r="AH119" t="str">
        <f>"Pipe fitting/steamfitting"</f>
        <v>Pipe fitting/steamfitting</v>
      </c>
      <c r="AI119" t="str">
        <f>"Is your firm a Certified MBE?"</f>
        <v>Is your firm a Certified MBE?</v>
      </c>
      <c r="AJ119" t="str">
        <f>"2 million"</f>
        <v>2 million</v>
      </c>
    </row>
    <row r="120" spans="1:36" x14ac:dyDescent="0.35">
      <c r="A120">
        <v>118</v>
      </c>
      <c r="B120" t="str">
        <f t="shared" si="7"/>
        <v>203620166296150098</v>
      </c>
      <c r="C120">
        <v>1720138377</v>
      </c>
      <c r="D120" t="s">
        <v>37</v>
      </c>
      <c r="E120" t="s">
        <v>38</v>
      </c>
      <c r="F120" t="s">
        <v>39</v>
      </c>
      <c r="G120" t="s">
        <v>40</v>
      </c>
      <c r="H120" t="s">
        <v>41</v>
      </c>
      <c r="I120" t="s">
        <v>42</v>
      </c>
      <c r="J120" t="s">
        <v>43</v>
      </c>
      <c r="K120" t="s">
        <v>215</v>
      </c>
      <c r="L120" t="s">
        <v>216</v>
      </c>
      <c r="M120" t="s">
        <v>217</v>
      </c>
      <c r="N120" t="s">
        <v>47</v>
      </c>
      <c r="O120" t="s">
        <v>48</v>
      </c>
      <c r="P120" t="s">
        <v>48</v>
      </c>
      <c r="Q120" t="s">
        <v>79</v>
      </c>
      <c r="R120" t="s">
        <v>37</v>
      </c>
      <c r="S120" t="s">
        <v>218</v>
      </c>
      <c r="T120">
        <v>512105</v>
      </c>
      <c r="U120">
        <v>0</v>
      </c>
      <c r="V120" t="s">
        <v>48</v>
      </c>
      <c r="W120" t="str">
        <f>"Estimator / PM"</f>
        <v>Estimator / PM</v>
      </c>
      <c r="X120" s="1">
        <v>36161</v>
      </c>
      <c r="Y120" t="str">
        <f>"ATJ Electrical Inc."</f>
        <v>ATJ Electrical Inc.</v>
      </c>
      <c r="Z120" t="str">
        <f>"1-7183210117"</f>
        <v>1-7183210117</v>
      </c>
      <c r="AA120" t="str">
        <f>"122-11 15th Avenue"</f>
        <v>122-11 15th Avenue</v>
      </c>
      <c r="AB120" t="str">
        <f>"122-11 15th Avenue"</f>
        <v>122-11 15th Avenue</v>
      </c>
      <c r="AC120" t="str">
        <f>"College Point"</f>
        <v>College Point</v>
      </c>
      <c r="AD120" t="str">
        <f>"New York"</f>
        <v>New York</v>
      </c>
      <c r="AE120" t="str">
        <f>"11356"</f>
        <v>11356</v>
      </c>
      <c r="AF120" t="s">
        <v>51</v>
      </c>
      <c r="AG120" t="str">
        <f>""</f>
        <v/>
      </c>
      <c r="AH120" t="str">
        <f>"Electric"</f>
        <v>Electric</v>
      </c>
      <c r="AI120" t="str">
        <f>"Trade contract you are interested in bidding (use semi-colon to seperate each listing)|Has your firm worked on DASNY projects as a prime or sub-contractor?"</f>
        <v>Trade contract you are interested in bidding (use semi-colon to seperate each listing)|Has your firm worked on DASNY projects as a prime or sub-contractor?</v>
      </c>
      <c r="AJ120" t="str">
        <f>""</f>
        <v/>
      </c>
    </row>
    <row r="121" spans="1:36" x14ac:dyDescent="0.35">
      <c r="A121">
        <v>119</v>
      </c>
      <c r="B121" t="str">
        <f t="shared" si="7"/>
        <v>203620166296150098</v>
      </c>
      <c r="C121">
        <v>1720138377</v>
      </c>
      <c r="D121" t="s">
        <v>37</v>
      </c>
      <c r="E121" t="s">
        <v>38</v>
      </c>
      <c r="F121" t="s">
        <v>39</v>
      </c>
      <c r="G121" t="s">
        <v>40</v>
      </c>
      <c r="H121" t="s">
        <v>41</v>
      </c>
      <c r="I121" t="s">
        <v>42</v>
      </c>
      <c r="J121" t="s">
        <v>43</v>
      </c>
      <c r="K121" t="s">
        <v>491</v>
      </c>
      <c r="L121" t="s">
        <v>492</v>
      </c>
      <c r="M121" t="s">
        <v>493</v>
      </c>
      <c r="N121" t="s">
        <v>47</v>
      </c>
      <c r="O121" t="s">
        <v>48</v>
      </c>
      <c r="P121" t="s">
        <v>48</v>
      </c>
      <c r="Q121" t="s">
        <v>173</v>
      </c>
      <c r="R121" t="s">
        <v>37</v>
      </c>
      <c r="S121" t="s">
        <v>494</v>
      </c>
      <c r="T121">
        <v>609515</v>
      </c>
      <c r="U121">
        <v>0</v>
      </c>
      <c r="V121" t="s">
        <v>48</v>
      </c>
      <c r="W121" t="str">
        <f>"President"</f>
        <v>President</v>
      </c>
      <c r="X121" s="1">
        <v>36161</v>
      </c>
      <c r="Y121" t="str">
        <f>"Babylon Construction  INC"</f>
        <v>Babylon Construction  INC</v>
      </c>
      <c r="Z121" t="str">
        <f>"1-5164774680"</f>
        <v>1-5164774680</v>
      </c>
      <c r="AA121" t="str">
        <f>"1537 1st ST"</f>
        <v>1537 1st ST</v>
      </c>
      <c r="AB121" t="str">
        <f>"1537 1st ST West Babylon"</f>
        <v>1537 1st ST West Babylon</v>
      </c>
      <c r="AC121" t="str">
        <f>"W Babylon"</f>
        <v>W Babylon</v>
      </c>
      <c r="AD121" t="str">
        <f>"NY"</f>
        <v>NY</v>
      </c>
      <c r="AE121" t="str">
        <f>"11704"</f>
        <v>11704</v>
      </c>
      <c r="AF121" t="s">
        <v>51</v>
      </c>
      <c r="AG121" t="str">
        <f>"0"</f>
        <v>0</v>
      </c>
      <c r="AH121" t="str">
        <f>"Concrete &amp; Landscaping"</f>
        <v>Concrete &amp; Landscaping</v>
      </c>
      <c r="AI121" t="str">
        <f>"Is your firm a NYS Certified WBE?|Is your firm a Certified MBE?"</f>
        <v>Is your firm a NYS Certified WBE?|Is your firm a Certified MBE?</v>
      </c>
      <c r="AJ121" t="str">
        <f>"0"</f>
        <v>0</v>
      </c>
    </row>
    <row r="122" spans="1:36" x14ac:dyDescent="0.35">
      <c r="A122">
        <v>120</v>
      </c>
      <c r="B122" t="str">
        <f t="shared" si="7"/>
        <v>203620166296150098</v>
      </c>
      <c r="C122">
        <v>1720138377</v>
      </c>
      <c r="D122" t="s">
        <v>37</v>
      </c>
      <c r="E122" t="s">
        <v>38</v>
      </c>
      <c r="F122" t="s">
        <v>39</v>
      </c>
      <c r="G122" t="s">
        <v>40</v>
      </c>
      <c r="H122" t="s">
        <v>41</v>
      </c>
      <c r="I122" t="s">
        <v>42</v>
      </c>
      <c r="J122" t="s">
        <v>43</v>
      </c>
      <c r="K122" t="s">
        <v>495</v>
      </c>
      <c r="L122" t="s">
        <v>496</v>
      </c>
      <c r="M122" t="s">
        <v>497</v>
      </c>
      <c r="N122" t="s">
        <v>47</v>
      </c>
      <c r="O122" t="s">
        <v>48</v>
      </c>
      <c r="P122" t="s">
        <v>48</v>
      </c>
      <c r="Q122" t="s">
        <v>168</v>
      </c>
      <c r="R122" t="s">
        <v>37</v>
      </c>
      <c r="S122" t="s">
        <v>498</v>
      </c>
      <c r="T122">
        <v>864775</v>
      </c>
      <c r="U122">
        <v>0</v>
      </c>
      <c r="V122" t="s">
        <v>47</v>
      </c>
      <c r="W122" t="str">
        <f>"Office Engineer"</f>
        <v>Office Engineer</v>
      </c>
      <c r="X122" s="1">
        <v>36161</v>
      </c>
      <c r="Y122" t="str">
        <f>"D &amp; S Restoration, Inc."</f>
        <v>D &amp; S Restoration, Inc.</v>
      </c>
      <c r="Z122" t="str">
        <f>"1-9733458020"</f>
        <v>1-9733458020</v>
      </c>
      <c r="AA122" t="str">
        <f>"20 California Avenue"</f>
        <v>20 California Avenue</v>
      </c>
      <c r="AB122" t="str">
        <f>"20 California Avenue"</f>
        <v>20 California Avenue</v>
      </c>
      <c r="AC122" t="str">
        <f>"Paterson"</f>
        <v>Paterson</v>
      </c>
      <c r="AD122" t="str">
        <f>"NJ"</f>
        <v>NJ</v>
      </c>
      <c r="AE122" t="str">
        <f>"07503"</f>
        <v>07503</v>
      </c>
      <c r="AF122" t="s">
        <v>51</v>
      </c>
      <c r="AG122" t="str">
        <f>""</f>
        <v/>
      </c>
      <c r="AH122" t="str">
        <f>"GC"</f>
        <v>GC</v>
      </c>
      <c r="AI122" t="str">
        <f>"Has your firm bid on DASNY JOC contract soliciations?"</f>
        <v>Has your firm bid on DASNY JOC contract soliciations?</v>
      </c>
      <c r="AJ122" t="str">
        <f>""</f>
        <v/>
      </c>
    </row>
    <row r="123" spans="1:36" x14ac:dyDescent="0.35">
      <c r="A123">
        <v>121</v>
      </c>
      <c r="B123" t="str">
        <f t="shared" si="7"/>
        <v>203620166296150098</v>
      </c>
      <c r="C123">
        <v>1720138377</v>
      </c>
      <c r="D123" t="s">
        <v>37</v>
      </c>
      <c r="E123" t="s">
        <v>38</v>
      </c>
      <c r="F123" t="s">
        <v>39</v>
      </c>
      <c r="G123" t="s">
        <v>40</v>
      </c>
      <c r="H123" t="s">
        <v>41</v>
      </c>
      <c r="I123" t="s">
        <v>42</v>
      </c>
      <c r="J123" t="s">
        <v>43</v>
      </c>
      <c r="K123" t="s">
        <v>315</v>
      </c>
      <c r="L123" t="s">
        <v>316</v>
      </c>
      <c r="M123" t="s">
        <v>317</v>
      </c>
      <c r="N123" t="s">
        <v>47</v>
      </c>
      <c r="O123" t="s">
        <v>48</v>
      </c>
      <c r="P123" t="s">
        <v>48</v>
      </c>
      <c r="Q123" t="s">
        <v>499</v>
      </c>
      <c r="R123" t="s">
        <v>37</v>
      </c>
      <c r="S123" t="s">
        <v>318</v>
      </c>
      <c r="T123">
        <v>356261</v>
      </c>
      <c r="U123">
        <v>0</v>
      </c>
      <c r="V123" t="s">
        <v>48</v>
      </c>
      <c r="W123" t="str">
        <f>"President"</f>
        <v>President</v>
      </c>
      <c r="X123" s="1">
        <v>36161</v>
      </c>
      <c r="Y123" t="str">
        <f>"Zaman Construction Corp."</f>
        <v>Zaman Construction Corp.</v>
      </c>
      <c r="Z123" t="str">
        <f>"1-2129640189"</f>
        <v>1-2129640189</v>
      </c>
      <c r="AA123" t="str">
        <f>"97-53 85th Street"</f>
        <v>97-53 85th Street</v>
      </c>
      <c r="AB123" t="str">
        <f>"97-53 85th Street"</f>
        <v>97-53 85th Street</v>
      </c>
      <c r="AC123" t="str">
        <f>"Ozone Park"</f>
        <v>Ozone Park</v>
      </c>
      <c r="AD123" t="str">
        <f>"NY"</f>
        <v>NY</v>
      </c>
      <c r="AE123" t="str">
        <f>"11416"</f>
        <v>11416</v>
      </c>
      <c r="AF123" t="s">
        <v>51</v>
      </c>
      <c r="AG123" t="str">
        <f>"30,000,000"</f>
        <v>30,000,000</v>
      </c>
      <c r="AH123" t="str">
        <f>"gC"</f>
        <v>gC</v>
      </c>
      <c r="AI123" t="str">
        <f>"Is your firm a Certified MBE?"</f>
        <v>Is your firm a Certified MBE?</v>
      </c>
      <c r="AJ123" t="str">
        <f>"60,000,000"</f>
        <v>60,000,000</v>
      </c>
    </row>
    <row r="124" spans="1:36" x14ac:dyDescent="0.35">
      <c r="A124">
        <v>122</v>
      </c>
      <c r="B124" t="str">
        <f t="shared" si="7"/>
        <v>203620166296150098</v>
      </c>
      <c r="C124">
        <v>1720138377</v>
      </c>
      <c r="D124" t="s">
        <v>37</v>
      </c>
      <c r="E124" t="s">
        <v>38</v>
      </c>
      <c r="F124" t="s">
        <v>39</v>
      </c>
      <c r="G124" t="s">
        <v>40</v>
      </c>
      <c r="H124" t="s">
        <v>41</v>
      </c>
      <c r="I124" t="s">
        <v>42</v>
      </c>
      <c r="J124" t="s">
        <v>106</v>
      </c>
      <c r="K124" t="s">
        <v>107</v>
      </c>
      <c r="L124" t="s">
        <v>108</v>
      </c>
      <c r="M124" t="s">
        <v>109</v>
      </c>
      <c r="N124" t="s">
        <v>48</v>
      </c>
      <c r="O124" t="s">
        <v>48</v>
      </c>
      <c r="P124" t="s">
        <v>48</v>
      </c>
      <c r="Q124" t="s">
        <v>84</v>
      </c>
      <c r="R124" t="s">
        <v>37</v>
      </c>
      <c r="S124" t="s">
        <v>111</v>
      </c>
      <c r="T124">
        <v>123030</v>
      </c>
      <c r="U124">
        <v>0</v>
      </c>
      <c r="V124" t="s">
        <v>47</v>
      </c>
      <c r="W124" t="str">
        <f>"Sr Director OPG"</f>
        <v>Sr Director OPG</v>
      </c>
      <c r="X124" s="1">
        <v>36161</v>
      </c>
      <c r="Y124" t="str">
        <f>"DASNY"</f>
        <v>DASNY</v>
      </c>
      <c r="Z124" t="str">
        <f>"1-5182573000"</f>
        <v>1-5182573000</v>
      </c>
      <c r="AA124" t="str">
        <f>"515 Broadway"</f>
        <v>515 Broadway</v>
      </c>
      <c r="AB124" t="str">
        <f>"3rd floor"</f>
        <v>3rd floor</v>
      </c>
      <c r="AC124" t="str">
        <f>"Albany"</f>
        <v>Albany</v>
      </c>
      <c r="AD124" t="str">
        <f>"NY"</f>
        <v>NY</v>
      </c>
      <c r="AE124" t="str">
        <f>"12207"</f>
        <v>12207</v>
      </c>
      <c r="AF124" t="s">
        <v>51</v>
      </c>
      <c r="AG124" t="str">
        <f>"5M"</f>
        <v>5M</v>
      </c>
      <c r="AH124" t="str">
        <f>"OPG"</f>
        <v>OPG</v>
      </c>
      <c r="AI124" t="str">
        <f>"Is your firm a NYS Certified WBE?"</f>
        <v>Is your firm a NYS Certified WBE?</v>
      </c>
      <c r="AJ124" t="str">
        <f>"40M"</f>
        <v>40M</v>
      </c>
    </row>
    <row r="125" spans="1:36" x14ac:dyDescent="0.35">
      <c r="A125">
        <v>123</v>
      </c>
      <c r="B125" t="str">
        <f t="shared" si="7"/>
        <v>203620166296150098</v>
      </c>
      <c r="C125">
        <v>1720138377</v>
      </c>
      <c r="D125" t="s">
        <v>37</v>
      </c>
      <c r="E125" t="s">
        <v>38</v>
      </c>
      <c r="F125" t="s">
        <v>39</v>
      </c>
      <c r="G125" t="s">
        <v>40</v>
      </c>
      <c r="H125" t="s">
        <v>41</v>
      </c>
      <c r="I125" t="s">
        <v>42</v>
      </c>
      <c r="J125" t="s">
        <v>43</v>
      </c>
      <c r="K125" t="s">
        <v>500</v>
      </c>
      <c r="L125" t="s">
        <v>501</v>
      </c>
      <c r="M125" t="s">
        <v>502</v>
      </c>
      <c r="N125" t="s">
        <v>47</v>
      </c>
      <c r="O125" t="s">
        <v>48</v>
      </c>
      <c r="P125" t="s">
        <v>48</v>
      </c>
      <c r="Q125" t="s">
        <v>40</v>
      </c>
      <c r="R125" t="s">
        <v>37</v>
      </c>
      <c r="S125" t="s">
        <v>503</v>
      </c>
      <c r="T125">
        <v>165805</v>
      </c>
      <c r="U125">
        <v>0</v>
      </c>
      <c r="V125" t="s">
        <v>48</v>
      </c>
      <c r="W125" t="str">
        <f>"Project Manager"</f>
        <v>Project Manager</v>
      </c>
      <c r="X125" s="1">
        <v>36161</v>
      </c>
      <c r="Y125" t="str">
        <f>"Crescent Contracting Corp."</f>
        <v>Crescent Contracting Corp.</v>
      </c>
      <c r="Z125" t="str">
        <f>"1-7182204200"</f>
        <v>1-7182204200</v>
      </c>
      <c r="AA125" t="str">
        <f>"2800 Webster Avenue"</f>
        <v>2800 Webster Avenue</v>
      </c>
      <c r="AB125" t="str">
        <f>"2800 Webster Avenue"</f>
        <v>2800 Webster Avenue</v>
      </c>
      <c r="AC125" t="str">
        <f>"Bronx"</f>
        <v>Bronx</v>
      </c>
      <c r="AD125" t="str">
        <f>"NY"</f>
        <v>NY</v>
      </c>
      <c r="AE125" t="str">
        <f>"10458"</f>
        <v>10458</v>
      </c>
      <c r="AF125" t="s">
        <v>51</v>
      </c>
      <c r="AG125" t="str">
        <f>""</f>
        <v/>
      </c>
      <c r="AH125" t="str">
        <f>"Plumbing; HVAC; Fire Suppression"</f>
        <v>Plumbing; HVAC; Fire Suppression</v>
      </c>
      <c r="AI125" t="s">
        <v>309</v>
      </c>
      <c r="AJ125" t="str">
        <f>""</f>
        <v/>
      </c>
    </row>
    <row r="126" spans="1:36" x14ac:dyDescent="0.35">
      <c r="A126">
        <v>124</v>
      </c>
      <c r="B126" t="str">
        <f t="shared" si="7"/>
        <v>203620166296150098</v>
      </c>
      <c r="C126">
        <v>1720138377</v>
      </c>
      <c r="D126" t="s">
        <v>37</v>
      </c>
      <c r="E126" t="s">
        <v>38</v>
      </c>
      <c r="F126" t="s">
        <v>39</v>
      </c>
      <c r="G126" t="s">
        <v>40</v>
      </c>
      <c r="H126" t="s">
        <v>41</v>
      </c>
      <c r="I126" t="s">
        <v>42</v>
      </c>
      <c r="J126" t="s">
        <v>43</v>
      </c>
      <c r="K126" t="s">
        <v>504</v>
      </c>
      <c r="L126" t="s">
        <v>505</v>
      </c>
      <c r="M126" t="s">
        <v>506</v>
      </c>
      <c r="N126" t="s">
        <v>47</v>
      </c>
      <c r="O126" t="s">
        <v>48</v>
      </c>
      <c r="P126" t="s">
        <v>48</v>
      </c>
      <c r="Q126" t="s">
        <v>183</v>
      </c>
      <c r="R126" t="s">
        <v>37</v>
      </c>
      <c r="S126" t="s">
        <v>507</v>
      </c>
      <c r="T126">
        <v>402761</v>
      </c>
      <c r="U126">
        <v>0</v>
      </c>
      <c r="V126" t="s">
        <v>48</v>
      </c>
      <c r="W126" t="str">
        <f>"President"</f>
        <v>President</v>
      </c>
      <c r="X126" s="1">
        <v>36161</v>
      </c>
      <c r="Y126" t="str">
        <f>"GDS MECHANICAL, INC."</f>
        <v>GDS MECHANICAL, INC.</v>
      </c>
      <c r="Z126" t="str">
        <f>"1-9732235553"</f>
        <v>1-9732235553</v>
      </c>
      <c r="AA126" t="str">
        <f>"39 East hanover Ave"</f>
        <v>39 East hanover Ave</v>
      </c>
      <c r="AB126" t="str">
        <f>"Suite  B1"</f>
        <v>Suite  B1</v>
      </c>
      <c r="AC126" t="str">
        <f>"Morris  Plains,"</f>
        <v>Morris  Plains,</v>
      </c>
      <c r="AD126" t="str">
        <f>"NJ"</f>
        <v>NJ</v>
      </c>
      <c r="AE126" t="str">
        <f>"07950"</f>
        <v>07950</v>
      </c>
      <c r="AF126" t="s">
        <v>51</v>
      </c>
      <c r="AG126" t="str">
        <f>"20,000,000.00"</f>
        <v>20,000,000.00</v>
      </c>
      <c r="AH126" t="str">
        <f>"hvac"</f>
        <v>hvac</v>
      </c>
      <c r="AI126" t="str">
        <f>"Trade contract you are interested in bidding (use semi-colon to seperate each listing)"</f>
        <v>Trade contract you are interested in bidding (use semi-colon to seperate each listing)</v>
      </c>
      <c r="AJ126" t="str">
        <f>"30,000,000.00"</f>
        <v>30,000,000.00</v>
      </c>
    </row>
    <row r="127" spans="1:36" x14ac:dyDescent="0.35">
      <c r="A127">
        <v>125</v>
      </c>
      <c r="B127" t="str">
        <f t="shared" si="7"/>
        <v>203620166296150098</v>
      </c>
      <c r="C127">
        <v>1720138377</v>
      </c>
      <c r="D127" t="s">
        <v>37</v>
      </c>
      <c r="E127" t="s">
        <v>38</v>
      </c>
      <c r="F127" t="s">
        <v>39</v>
      </c>
      <c r="G127" t="s">
        <v>40</v>
      </c>
      <c r="H127" t="s">
        <v>41</v>
      </c>
      <c r="I127" t="s">
        <v>42</v>
      </c>
      <c r="J127" t="s">
        <v>43</v>
      </c>
      <c r="K127" t="s">
        <v>381</v>
      </c>
      <c r="L127" t="s">
        <v>382</v>
      </c>
      <c r="M127" t="s">
        <v>383</v>
      </c>
      <c r="N127" t="s">
        <v>47</v>
      </c>
      <c r="O127" t="s">
        <v>48</v>
      </c>
      <c r="P127" t="s">
        <v>48</v>
      </c>
      <c r="Q127" t="s">
        <v>508</v>
      </c>
      <c r="R127" t="s">
        <v>37</v>
      </c>
      <c r="S127" t="s">
        <v>384</v>
      </c>
      <c r="T127">
        <v>489761</v>
      </c>
      <c r="U127">
        <v>0</v>
      </c>
      <c r="V127" t="s">
        <v>48</v>
      </c>
      <c r="W127" t="str">
        <f>"Project Manager"</f>
        <v>Project Manager</v>
      </c>
      <c r="X127" s="1">
        <v>36161</v>
      </c>
      <c r="Y127" t="str">
        <f>"TriStar Plumbing &amp; Heating, Inc."</f>
        <v>TriStar Plumbing &amp; Heating, Inc.</v>
      </c>
      <c r="Z127" t="str">
        <f>"1-917-402-1380"</f>
        <v>1-917-402-1380</v>
      </c>
      <c r="AA127" t="str">
        <f>"2860 Richmond Terrace"</f>
        <v>2860 Richmond Terrace</v>
      </c>
      <c r="AB127" t="str">
        <f>"2860 Richmond Terrace"</f>
        <v>2860 Richmond Terrace</v>
      </c>
      <c r="AC127" t="str">
        <f>"Staten Island"</f>
        <v>Staten Island</v>
      </c>
      <c r="AD127" t="str">
        <f>"New York"</f>
        <v>New York</v>
      </c>
      <c r="AE127" t="str">
        <f>"10303"</f>
        <v>10303</v>
      </c>
      <c r="AF127" t="s">
        <v>51</v>
      </c>
      <c r="AG127" t="str">
        <f>"2,000,000"</f>
        <v>2,000,000</v>
      </c>
      <c r="AH127" t="str">
        <f>"Plumbing"</f>
        <v>Plumbing</v>
      </c>
      <c r="AI127" t="str">
        <f>"Trade contract you are interested in bidding (use semi-colon to seperate each listing)|Has your firm worked on DASNY projects as a prime or sub-contractor?"</f>
        <v>Trade contract you are interested in bidding (use semi-colon to seperate each listing)|Has your firm worked on DASNY projects as a prime or sub-contractor?</v>
      </c>
      <c r="AJ127" t="str">
        <f>"10,000,000"</f>
        <v>10,000,000</v>
      </c>
    </row>
    <row r="128" spans="1:36" x14ac:dyDescent="0.35">
      <c r="A128">
        <v>126</v>
      </c>
      <c r="B128" t="str">
        <f t="shared" si="7"/>
        <v>203620166296150098</v>
      </c>
      <c r="C128">
        <v>1720138377</v>
      </c>
      <c r="D128" t="s">
        <v>37</v>
      </c>
      <c r="E128" t="s">
        <v>38</v>
      </c>
      <c r="F128" t="s">
        <v>39</v>
      </c>
      <c r="G128" t="s">
        <v>40</v>
      </c>
      <c r="H128" t="s">
        <v>41</v>
      </c>
      <c r="I128" t="s">
        <v>42</v>
      </c>
      <c r="J128" t="s">
        <v>106</v>
      </c>
      <c r="K128" t="s">
        <v>107</v>
      </c>
      <c r="L128" t="s">
        <v>108</v>
      </c>
      <c r="M128" t="s">
        <v>109</v>
      </c>
      <c r="N128" t="s">
        <v>48</v>
      </c>
      <c r="O128" t="s">
        <v>48</v>
      </c>
      <c r="P128" t="s">
        <v>48</v>
      </c>
      <c r="Q128" t="s">
        <v>61</v>
      </c>
      <c r="R128" t="s">
        <v>37</v>
      </c>
      <c r="S128" t="s">
        <v>111</v>
      </c>
      <c r="T128">
        <v>123030</v>
      </c>
      <c r="U128">
        <v>0</v>
      </c>
      <c r="V128" t="s">
        <v>47</v>
      </c>
      <c r="W128" t="str">
        <f>"Sr Director OPG"</f>
        <v>Sr Director OPG</v>
      </c>
      <c r="X128" s="1">
        <v>36161</v>
      </c>
      <c r="Y128" t="str">
        <f>"DASNY"</f>
        <v>DASNY</v>
      </c>
      <c r="Z128" t="str">
        <f>"1-5182573000"</f>
        <v>1-5182573000</v>
      </c>
      <c r="AA128" t="str">
        <f>"515 Broadway"</f>
        <v>515 Broadway</v>
      </c>
      <c r="AB128" t="str">
        <f>"3rd floor"</f>
        <v>3rd floor</v>
      </c>
      <c r="AC128" t="str">
        <f>"Albany"</f>
        <v>Albany</v>
      </c>
      <c r="AD128" t="str">
        <f>"NY"</f>
        <v>NY</v>
      </c>
      <c r="AE128" t="str">
        <f>"12207"</f>
        <v>12207</v>
      </c>
      <c r="AF128" t="s">
        <v>51</v>
      </c>
      <c r="AG128" t="str">
        <f>"5M"</f>
        <v>5M</v>
      </c>
      <c r="AH128" t="str">
        <f>"OPG"</f>
        <v>OPG</v>
      </c>
      <c r="AI128" t="str">
        <f>"Is your firm a NYS Certified WBE?"</f>
        <v>Is your firm a NYS Certified WBE?</v>
      </c>
      <c r="AJ128" t="str">
        <f>"40M"</f>
        <v>40M</v>
      </c>
    </row>
    <row r="129" spans="1:36" x14ac:dyDescent="0.35">
      <c r="A129">
        <v>127</v>
      </c>
      <c r="B129" t="str">
        <f t="shared" si="7"/>
        <v>203620166296150098</v>
      </c>
      <c r="C129">
        <v>1720138377</v>
      </c>
      <c r="D129" t="s">
        <v>37</v>
      </c>
      <c r="E129" t="s">
        <v>38</v>
      </c>
      <c r="F129" t="s">
        <v>39</v>
      </c>
      <c r="G129" t="s">
        <v>40</v>
      </c>
      <c r="H129" t="s">
        <v>41</v>
      </c>
      <c r="I129" t="s">
        <v>42</v>
      </c>
      <c r="J129" t="s">
        <v>43</v>
      </c>
      <c r="K129" t="s">
        <v>385</v>
      </c>
      <c r="L129" t="s">
        <v>386</v>
      </c>
      <c r="M129" t="s">
        <v>387</v>
      </c>
      <c r="N129" t="s">
        <v>47</v>
      </c>
      <c r="O129" t="s">
        <v>48</v>
      </c>
      <c r="P129" t="s">
        <v>48</v>
      </c>
      <c r="Q129" t="s">
        <v>509</v>
      </c>
      <c r="R129" t="s">
        <v>37</v>
      </c>
      <c r="S129" t="s">
        <v>388</v>
      </c>
      <c r="T129">
        <v>163336</v>
      </c>
      <c r="U129">
        <v>0</v>
      </c>
      <c r="V129" t="s">
        <v>47</v>
      </c>
      <c r="W129" t="str">
        <f>"CFO"</f>
        <v>CFO</v>
      </c>
      <c r="X129" s="1">
        <v>36161</v>
      </c>
      <c r="Y129" t="str">
        <f>"red bolt"</f>
        <v>red bolt</v>
      </c>
      <c r="Z129" t="str">
        <f>"1-9293902785"</f>
        <v>1-9293902785</v>
      </c>
      <c r="AA129" t="str">
        <f>"1054 Bergen st"</f>
        <v>1054 Bergen st</v>
      </c>
      <c r="AB129" t="str">
        <f>"4D"</f>
        <v>4D</v>
      </c>
      <c r="AC129" t="str">
        <f>"Brooklyn"</f>
        <v>Brooklyn</v>
      </c>
      <c r="AD129" t="str">
        <f>"New York"</f>
        <v>New York</v>
      </c>
      <c r="AE129" t="str">
        <f>"11216"</f>
        <v>11216</v>
      </c>
      <c r="AF129" t="s">
        <v>51</v>
      </c>
      <c r="AG129" t="str">
        <f>"1M"</f>
        <v>1M</v>
      </c>
      <c r="AH129" t="str">
        <f>"Cleaning"</f>
        <v>Cleaning</v>
      </c>
      <c r="AI129" t="str">
        <f>"Trade contract you are interested in bidding (use semi-colon to seperate each listing)"</f>
        <v>Trade contract you are interested in bidding (use semi-colon to seperate each listing)</v>
      </c>
      <c r="AJ129" t="str">
        <f>"1M "</f>
        <v xml:space="preserve">1M </v>
      </c>
    </row>
    <row r="130" spans="1:36" x14ac:dyDescent="0.35">
      <c r="A130">
        <v>128</v>
      </c>
      <c r="B130" t="str">
        <f t="shared" si="7"/>
        <v>203620166296150098</v>
      </c>
      <c r="C130">
        <v>1720138377</v>
      </c>
      <c r="D130" t="s">
        <v>37</v>
      </c>
      <c r="E130" t="s">
        <v>38</v>
      </c>
      <c r="F130" t="s">
        <v>39</v>
      </c>
      <c r="G130" t="s">
        <v>40</v>
      </c>
      <c r="H130" t="s">
        <v>41</v>
      </c>
      <c r="I130" t="s">
        <v>42</v>
      </c>
      <c r="J130" t="s">
        <v>43</v>
      </c>
      <c r="K130" t="s">
        <v>510</v>
      </c>
      <c r="L130" t="s">
        <v>511</v>
      </c>
      <c r="M130" t="s">
        <v>512</v>
      </c>
      <c r="N130" t="s">
        <v>47</v>
      </c>
      <c r="O130" t="s">
        <v>48</v>
      </c>
      <c r="P130" t="s">
        <v>48</v>
      </c>
      <c r="Q130" t="s">
        <v>40</v>
      </c>
      <c r="R130" t="s">
        <v>37</v>
      </c>
      <c r="S130" t="s">
        <v>513</v>
      </c>
      <c r="T130">
        <v>856009</v>
      </c>
      <c r="U130">
        <v>0</v>
      </c>
      <c r="V130" t="s">
        <v>48</v>
      </c>
      <c r="W130" t="str">
        <f>"President &amp; CEO"</f>
        <v>President &amp; CEO</v>
      </c>
      <c r="X130" s="1">
        <v>36161</v>
      </c>
      <c r="Y130" t="str">
        <f>"JPR Builders 07 Inc"</f>
        <v>JPR Builders 07 Inc</v>
      </c>
      <c r="Z130" t="str">
        <f>"1-6464418738"</f>
        <v>1-6464418738</v>
      </c>
      <c r="AA130" t="str">
        <f>"114-12 Merrick Blvd"</f>
        <v>114-12 Merrick Blvd</v>
      </c>
      <c r="AB130" t="str">
        <f>"Storefront"</f>
        <v>Storefront</v>
      </c>
      <c r="AC130" t="str">
        <f>"Jamaica"</f>
        <v>Jamaica</v>
      </c>
      <c r="AD130" t="str">
        <f>"NY"</f>
        <v>NY</v>
      </c>
      <c r="AE130" t="str">
        <f>"11434"</f>
        <v>11434</v>
      </c>
      <c r="AF130" t="s">
        <v>51</v>
      </c>
      <c r="AG130" t="str">
        <f>"750000"</f>
        <v>750000</v>
      </c>
      <c r="AH130" t="str">
        <f>"General Construction"</f>
        <v>General Construction</v>
      </c>
      <c r="AI130" t="str">
        <f>"Is your firm a NYS Certified WBE?|Is your firm a Certified MBE?"</f>
        <v>Is your firm a NYS Certified WBE?|Is your firm a Certified MBE?</v>
      </c>
      <c r="AJ130" t="str">
        <f>"1000000"</f>
        <v>1000000</v>
      </c>
    </row>
    <row r="131" spans="1:36" x14ac:dyDescent="0.35">
      <c r="A131">
        <v>129</v>
      </c>
      <c r="B131" t="str">
        <f t="shared" ref="B131:B166" si="9">"203620166296150098"</f>
        <v>203620166296150098</v>
      </c>
      <c r="C131">
        <v>1720138377</v>
      </c>
      <c r="D131" t="s">
        <v>37</v>
      </c>
      <c r="E131" t="s">
        <v>38</v>
      </c>
      <c r="F131" t="s">
        <v>39</v>
      </c>
      <c r="G131" t="s">
        <v>40</v>
      </c>
      <c r="H131" t="s">
        <v>41</v>
      </c>
      <c r="I131" t="s">
        <v>42</v>
      </c>
      <c r="J131" t="s">
        <v>43</v>
      </c>
      <c r="K131" t="s">
        <v>514</v>
      </c>
      <c r="L131" t="s">
        <v>221</v>
      </c>
      <c r="M131" t="s">
        <v>515</v>
      </c>
      <c r="N131" t="s">
        <v>47</v>
      </c>
      <c r="O131" t="s">
        <v>48</v>
      </c>
      <c r="P131" t="s">
        <v>48</v>
      </c>
      <c r="Q131" t="s">
        <v>104</v>
      </c>
      <c r="R131" t="s">
        <v>37</v>
      </c>
      <c r="S131" t="s">
        <v>516</v>
      </c>
      <c r="T131">
        <v>105170</v>
      </c>
      <c r="U131">
        <v>0</v>
      </c>
      <c r="V131" t="s">
        <v>47</v>
      </c>
      <c r="W131" t="str">
        <f>"Executive Assistant to President / CEO / Office Manager  "</f>
        <v>Executive Assistant to President / CEO / Office Manager  </v>
      </c>
      <c r="X131" s="1">
        <v>36161</v>
      </c>
      <c r="Y131" t="str">
        <f>"C.C.C. Renovation Inc."</f>
        <v>C.C.C. Renovation Inc.</v>
      </c>
      <c r="Z131" t="str">
        <f>"1-7183831220"</f>
        <v>1-7183831220</v>
      </c>
      <c r="AA131" t="str">
        <f>"31-07 Starr Avenue, Suite 1"</f>
        <v>31-07 Starr Avenue, Suite 1</v>
      </c>
      <c r="AB131" t="str">
        <f>"Suite 1"</f>
        <v>Suite 1</v>
      </c>
      <c r="AC131" t="str">
        <f>"Long Island City"</f>
        <v>Long Island City</v>
      </c>
      <c r="AD131" t="str">
        <f>"NY"</f>
        <v>NY</v>
      </c>
      <c r="AE131" t="str">
        <f>"11101-3263"</f>
        <v>11101-3263</v>
      </c>
      <c r="AF131" t="s">
        <v>51</v>
      </c>
      <c r="AG131" t="str">
        <f>""</f>
        <v/>
      </c>
      <c r="AH131" t="str">
        <f>"Construction"</f>
        <v>Construction</v>
      </c>
      <c r="AI131" t="str">
        <f>"Is your firm a NYS Certified WBE?"</f>
        <v>Is your firm a NYS Certified WBE?</v>
      </c>
      <c r="AJ131" t="str">
        <f>""</f>
        <v/>
      </c>
    </row>
    <row r="132" spans="1:36" x14ac:dyDescent="0.35">
      <c r="A132">
        <v>130</v>
      </c>
      <c r="B132" t="str">
        <f t="shared" si="9"/>
        <v>203620166296150098</v>
      </c>
      <c r="C132">
        <v>1720138377</v>
      </c>
      <c r="D132" t="s">
        <v>37</v>
      </c>
      <c r="E132" t="s">
        <v>38</v>
      </c>
      <c r="F132" t="s">
        <v>39</v>
      </c>
      <c r="G132" t="s">
        <v>40</v>
      </c>
      <c r="H132" t="s">
        <v>41</v>
      </c>
      <c r="I132" t="s">
        <v>42</v>
      </c>
      <c r="J132" t="s">
        <v>106</v>
      </c>
      <c r="K132" t="s">
        <v>405</v>
      </c>
      <c r="L132" t="s">
        <v>406</v>
      </c>
      <c r="M132" t="s">
        <v>407</v>
      </c>
      <c r="N132" t="s">
        <v>48</v>
      </c>
      <c r="O132" t="s">
        <v>47</v>
      </c>
      <c r="P132" t="s">
        <v>48</v>
      </c>
      <c r="Q132" t="s">
        <v>517</v>
      </c>
      <c r="R132" t="s">
        <v>37</v>
      </c>
      <c r="T132">
        <v>0</v>
      </c>
      <c r="V132" t="s">
        <v>47</v>
      </c>
      <c r="W132" t="str">
        <f>"  "</f>
        <v xml:space="preserve">  </v>
      </c>
      <c r="Y132" t="str">
        <f>"  "</f>
        <v xml:space="preserve">  </v>
      </c>
      <c r="Z132" t="str">
        <f>"1-"</f>
        <v>1-</v>
      </c>
      <c r="AA132" t="str">
        <f>"  "</f>
        <v xml:space="preserve">  </v>
      </c>
      <c r="AB132" t="str">
        <f>"  "</f>
        <v xml:space="preserve">  </v>
      </c>
      <c r="AC132" t="str">
        <f>"  "</f>
        <v xml:space="preserve">  </v>
      </c>
      <c r="AD132" t="str">
        <f>"  "</f>
        <v xml:space="preserve">  </v>
      </c>
      <c r="AE132" t="str">
        <f>"  "</f>
        <v xml:space="preserve">  </v>
      </c>
      <c r="AG132" t="str">
        <f>""</f>
        <v/>
      </c>
      <c r="AH132" t="str">
        <f>""</f>
        <v/>
      </c>
      <c r="AI132" t="str">
        <f>""</f>
        <v/>
      </c>
      <c r="AJ132" t="str">
        <f>""</f>
        <v/>
      </c>
    </row>
    <row r="133" spans="1:36" x14ac:dyDescent="0.35">
      <c r="A133">
        <v>131</v>
      </c>
      <c r="B133" t="str">
        <f t="shared" si="9"/>
        <v>203620166296150098</v>
      </c>
      <c r="C133">
        <v>1720138377</v>
      </c>
      <c r="D133" t="s">
        <v>37</v>
      </c>
      <c r="E133" t="s">
        <v>38</v>
      </c>
      <c r="F133" t="s">
        <v>39</v>
      </c>
      <c r="G133" t="s">
        <v>40</v>
      </c>
      <c r="H133" t="s">
        <v>41</v>
      </c>
      <c r="I133" t="s">
        <v>42</v>
      </c>
      <c r="J133" t="s">
        <v>43</v>
      </c>
      <c r="K133" t="s">
        <v>518</v>
      </c>
      <c r="L133" t="s">
        <v>519</v>
      </c>
      <c r="M133" t="s">
        <v>520</v>
      </c>
      <c r="N133" t="s">
        <v>47</v>
      </c>
      <c r="O133" t="s">
        <v>48</v>
      </c>
      <c r="P133" t="s">
        <v>48</v>
      </c>
      <c r="Q133" t="s">
        <v>168</v>
      </c>
      <c r="R133" t="s">
        <v>37</v>
      </c>
      <c r="S133" t="s">
        <v>521</v>
      </c>
      <c r="T133">
        <v>768558</v>
      </c>
      <c r="U133">
        <v>0</v>
      </c>
      <c r="V133" t="s">
        <v>47</v>
      </c>
      <c r="W133" t="str">
        <f>"Owner"</f>
        <v>Owner</v>
      </c>
      <c r="X133" s="1">
        <v>36161</v>
      </c>
      <c r="Y133" t="str">
        <f>"Durablis Solutions"</f>
        <v>Durablis Solutions</v>
      </c>
      <c r="Z133" t="str">
        <f>"1-9173276540"</f>
        <v>1-9173276540</v>
      </c>
      <c r="AA133" t="str">
        <f>"55 Albany ave"</f>
        <v>55 Albany ave</v>
      </c>
      <c r="AB133" t="str">
        <f>"0"</f>
        <v>0</v>
      </c>
      <c r="AC133" t="str">
        <f>"Amityville"</f>
        <v>Amityville</v>
      </c>
      <c r="AD133" t="str">
        <f>"NY"</f>
        <v>NY</v>
      </c>
      <c r="AE133" t="str">
        <f>"11701"</f>
        <v>11701</v>
      </c>
      <c r="AF133" t="s">
        <v>51</v>
      </c>
      <c r="AG133" t="str">
        <f>""</f>
        <v/>
      </c>
      <c r="AH133" t="str">
        <f>"General contractor"</f>
        <v>General contractor</v>
      </c>
      <c r="AI133" t="str">
        <f>"Has your firm worked on DASNY projects as a prime or sub-contractor?"</f>
        <v>Has your firm worked on DASNY projects as a prime or sub-contractor?</v>
      </c>
      <c r="AJ133" t="str">
        <f>""</f>
        <v/>
      </c>
    </row>
    <row r="134" spans="1:36" x14ac:dyDescent="0.35">
      <c r="A134">
        <v>132</v>
      </c>
      <c r="B134" t="str">
        <f t="shared" si="9"/>
        <v>203620166296150098</v>
      </c>
      <c r="C134">
        <v>1720138377</v>
      </c>
      <c r="D134" t="s">
        <v>37</v>
      </c>
      <c r="E134" t="s">
        <v>38</v>
      </c>
      <c r="F134" t="s">
        <v>39</v>
      </c>
      <c r="G134" t="s">
        <v>40</v>
      </c>
      <c r="H134" t="s">
        <v>41</v>
      </c>
      <c r="I134" t="s">
        <v>42</v>
      </c>
      <c r="J134" t="s">
        <v>43</v>
      </c>
      <c r="K134" t="s">
        <v>522</v>
      </c>
      <c r="L134" t="s">
        <v>523</v>
      </c>
      <c r="M134" t="s">
        <v>524</v>
      </c>
      <c r="N134" t="s">
        <v>47</v>
      </c>
      <c r="O134" t="s">
        <v>48</v>
      </c>
      <c r="P134" t="s">
        <v>48</v>
      </c>
      <c r="Q134" t="s">
        <v>260</v>
      </c>
      <c r="R134" t="s">
        <v>37</v>
      </c>
      <c r="S134" t="s">
        <v>525</v>
      </c>
      <c r="T134">
        <v>394609</v>
      </c>
      <c r="U134">
        <v>0</v>
      </c>
      <c r="V134" t="s">
        <v>47</v>
      </c>
      <c r="W134" t="str">
        <f>"President"</f>
        <v>President</v>
      </c>
      <c r="X134" s="1">
        <v>36161</v>
      </c>
      <c r="Y134" t="str">
        <f>"PB Contracting Corp"</f>
        <v>PB Contracting Corp</v>
      </c>
      <c r="Z134" t="str">
        <f>"1-5164701980"</f>
        <v>1-5164701980</v>
      </c>
      <c r="AA134" t="str">
        <f>"95 Broadway STE 1"</f>
        <v>95 Broadway STE 1</v>
      </c>
      <c r="AB134" t="str">
        <f>"95 Broadway STE 1"</f>
        <v>95 Broadway STE 1</v>
      </c>
      <c r="AC134" t="str">
        <f>"Hicksville"</f>
        <v>Hicksville</v>
      </c>
      <c r="AD134" t="str">
        <f>"New York"</f>
        <v>New York</v>
      </c>
      <c r="AE134" t="str">
        <f>"11801"</f>
        <v>11801</v>
      </c>
      <c r="AF134" t="s">
        <v>51</v>
      </c>
      <c r="AG134" t="str">
        <f>"1000000"</f>
        <v>1000000</v>
      </c>
      <c r="AH134" t="str">
        <f>"General Construction"</f>
        <v>General Construction</v>
      </c>
      <c r="AI134" t="str">
        <f>"Is your firm a Certified MBE?"</f>
        <v>Is your firm a Certified MBE?</v>
      </c>
      <c r="AJ134" t="str">
        <f>"3000000"</f>
        <v>3000000</v>
      </c>
    </row>
    <row r="135" spans="1:36" x14ac:dyDescent="0.35">
      <c r="A135">
        <v>133</v>
      </c>
      <c r="B135" t="str">
        <f t="shared" si="9"/>
        <v>203620166296150098</v>
      </c>
      <c r="C135">
        <v>1720138377</v>
      </c>
      <c r="D135" t="s">
        <v>37</v>
      </c>
      <c r="E135" t="s">
        <v>38</v>
      </c>
      <c r="F135" t="s">
        <v>39</v>
      </c>
      <c r="G135" t="s">
        <v>40</v>
      </c>
      <c r="H135" t="s">
        <v>41</v>
      </c>
      <c r="I135" t="s">
        <v>42</v>
      </c>
      <c r="J135" t="s">
        <v>106</v>
      </c>
      <c r="K135" t="s">
        <v>526</v>
      </c>
      <c r="L135" t="s">
        <v>527</v>
      </c>
      <c r="M135" t="s">
        <v>528</v>
      </c>
      <c r="N135" t="s">
        <v>48</v>
      </c>
      <c r="O135" t="s">
        <v>47</v>
      </c>
      <c r="P135" t="s">
        <v>48</v>
      </c>
      <c r="Q135" t="s">
        <v>529</v>
      </c>
      <c r="R135" t="s">
        <v>37</v>
      </c>
      <c r="T135">
        <v>0</v>
      </c>
      <c r="V135" t="s">
        <v>47</v>
      </c>
      <c r="W135" t="str">
        <f>"  "</f>
        <v xml:space="preserve">  </v>
      </c>
      <c r="Y135" t="str">
        <f>"  "</f>
        <v xml:space="preserve">  </v>
      </c>
      <c r="Z135" t="str">
        <f>"1-"</f>
        <v>1-</v>
      </c>
      <c r="AA135" t="str">
        <f>"  "</f>
        <v xml:space="preserve">  </v>
      </c>
      <c r="AB135" t="str">
        <f>"  "</f>
        <v xml:space="preserve">  </v>
      </c>
      <c r="AC135" t="str">
        <f>"  "</f>
        <v xml:space="preserve">  </v>
      </c>
      <c r="AD135" t="str">
        <f>"  "</f>
        <v xml:space="preserve">  </v>
      </c>
      <c r="AE135" t="str">
        <f>"  "</f>
        <v xml:space="preserve">  </v>
      </c>
      <c r="AG135" t="str">
        <f>""</f>
        <v/>
      </c>
      <c r="AH135" t="str">
        <f>""</f>
        <v/>
      </c>
      <c r="AI135" t="str">
        <f>""</f>
        <v/>
      </c>
      <c r="AJ135" t="str">
        <f>""</f>
        <v/>
      </c>
    </row>
    <row r="136" spans="1:36" x14ac:dyDescent="0.35">
      <c r="A136">
        <v>134</v>
      </c>
      <c r="B136" t="str">
        <f t="shared" si="9"/>
        <v>203620166296150098</v>
      </c>
      <c r="C136">
        <v>1720138377</v>
      </c>
      <c r="D136" t="s">
        <v>37</v>
      </c>
      <c r="E136" t="s">
        <v>38</v>
      </c>
      <c r="F136" t="s">
        <v>39</v>
      </c>
      <c r="G136" t="s">
        <v>40</v>
      </c>
      <c r="H136" t="s">
        <v>41</v>
      </c>
      <c r="I136" t="s">
        <v>42</v>
      </c>
      <c r="J136" t="s">
        <v>43</v>
      </c>
      <c r="K136" t="s">
        <v>530</v>
      </c>
      <c r="L136" t="s">
        <v>531</v>
      </c>
      <c r="M136" t="s">
        <v>532</v>
      </c>
      <c r="N136" t="s">
        <v>47</v>
      </c>
      <c r="O136" t="s">
        <v>48</v>
      </c>
      <c r="P136" t="s">
        <v>48</v>
      </c>
      <c r="Q136" t="s">
        <v>93</v>
      </c>
      <c r="R136" t="s">
        <v>37</v>
      </c>
      <c r="S136" t="s">
        <v>533</v>
      </c>
      <c r="T136">
        <v>848487</v>
      </c>
      <c r="U136">
        <v>0</v>
      </c>
      <c r="V136" t="s">
        <v>48</v>
      </c>
      <c r="W136" t="str">
        <f>"Account Manager"</f>
        <v>Account Manager</v>
      </c>
      <c r="X136" s="1">
        <v>36161</v>
      </c>
      <c r="Y136" t="str">
        <f>"AXI System"</f>
        <v>AXI System</v>
      </c>
      <c r="Z136" t="str">
        <f>"1-7745734930"</f>
        <v>1-7745734930</v>
      </c>
      <c r="AA136" t="str">
        <f>"784 Park Ave"</f>
        <v>784 Park Ave</v>
      </c>
      <c r="AB136" t="str">
        <f>"11B"</f>
        <v>11B</v>
      </c>
      <c r="AC136" t="str">
        <f>"New York"</f>
        <v>New York</v>
      </c>
      <c r="AD136" t="str">
        <f>"New York"</f>
        <v>New York</v>
      </c>
      <c r="AE136" t="str">
        <f>"10021"</f>
        <v>10021</v>
      </c>
      <c r="AF136" t="s">
        <v>51</v>
      </c>
      <c r="AG136" t="str">
        <f>""</f>
        <v/>
      </c>
      <c r="AH136" t="str">
        <f>"Software"</f>
        <v>Software</v>
      </c>
      <c r="AI136" t="str">
        <f>"Trade contract you are interested in bidding (use semi-colon to seperate each listing)"</f>
        <v>Trade contract you are interested in bidding (use semi-colon to seperate each listing)</v>
      </c>
      <c r="AJ136" t="str">
        <f>""</f>
        <v/>
      </c>
    </row>
    <row r="137" spans="1:36" x14ac:dyDescent="0.35">
      <c r="A137">
        <v>135</v>
      </c>
      <c r="B137" t="str">
        <f t="shared" si="9"/>
        <v>203620166296150098</v>
      </c>
      <c r="C137">
        <v>1720138377</v>
      </c>
      <c r="D137" t="s">
        <v>37</v>
      </c>
      <c r="E137" t="s">
        <v>38</v>
      </c>
      <c r="F137" t="s">
        <v>39</v>
      </c>
      <c r="G137" t="s">
        <v>40</v>
      </c>
      <c r="H137" t="s">
        <v>41</v>
      </c>
      <c r="I137" t="s">
        <v>42</v>
      </c>
      <c r="J137" t="s">
        <v>106</v>
      </c>
      <c r="K137" t="s">
        <v>405</v>
      </c>
      <c r="L137" t="s">
        <v>406</v>
      </c>
      <c r="M137" t="s">
        <v>407</v>
      </c>
      <c r="N137" t="s">
        <v>48</v>
      </c>
      <c r="O137" t="s">
        <v>47</v>
      </c>
      <c r="P137" t="s">
        <v>48</v>
      </c>
      <c r="Q137" t="s">
        <v>534</v>
      </c>
      <c r="R137" t="s">
        <v>37</v>
      </c>
      <c r="T137">
        <v>0</v>
      </c>
      <c r="V137" t="s">
        <v>47</v>
      </c>
      <c r="W137" t="str">
        <f>"  "</f>
        <v xml:space="preserve">  </v>
      </c>
      <c r="Y137" t="str">
        <f>"  "</f>
        <v xml:space="preserve">  </v>
      </c>
      <c r="Z137" t="str">
        <f>"1-"</f>
        <v>1-</v>
      </c>
      <c r="AA137" t="str">
        <f>"  "</f>
        <v xml:space="preserve">  </v>
      </c>
      <c r="AB137" t="str">
        <f>"  "</f>
        <v xml:space="preserve">  </v>
      </c>
      <c r="AC137" t="str">
        <f>"  "</f>
        <v xml:space="preserve">  </v>
      </c>
      <c r="AD137" t="str">
        <f>"  "</f>
        <v xml:space="preserve">  </v>
      </c>
      <c r="AE137" t="str">
        <f>"  "</f>
        <v xml:space="preserve">  </v>
      </c>
      <c r="AG137" t="str">
        <f>""</f>
        <v/>
      </c>
      <c r="AH137" t="str">
        <f>""</f>
        <v/>
      </c>
      <c r="AI137" t="str">
        <f>""</f>
        <v/>
      </c>
      <c r="AJ137" t="str">
        <f>""</f>
        <v/>
      </c>
    </row>
    <row r="138" spans="1:36" x14ac:dyDescent="0.35">
      <c r="A138">
        <v>136</v>
      </c>
      <c r="B138" t="str">
        <f t="shared" si="9"/>
        <v>203620166296150098</v>
      </c>
      <c r="C138">
        <v>1720138377</v>
      </c>
      <c r="D138" t="s">
        <v>37</v>
      </c>
      <c r="E138" t="s">
        <v>38</v>
      </c>
      <c r="F138" t="s">
        <v>39</v>
      </c>
      <c r="G138" t="s">
        <v>40</v>
      </c>
      <c r="H138" t="s">
        <v>41</v>
      </c>
      <c r="I138" t="s">
        <v>42</v>
      </c>
      <c r="J138" t="s">
        <v>43</v>
      </c>
      <c r="K138" t="s">
        <v>535</v>
      </c>
      <c r="L138" t="s">
        <v>536</v>
      </c>
      <c r="M138" t="s">
        <v>537</v>
      </c>
      <c r="N138" t="s">
        <v>47</v>
      </c>
      <c r="O138" t="s">
        <v>48</v>
      </c>
      <c r="P138" t="s">
        <v>48</v>
      </c>
      <c r="Q138" t="s">
        <v>40</v>
      </c>
      <c r="R138" t="s">
        <v>37</v>
      </c>
      <c r="S138" t="s">
        <v>538</v>
      </c>
      <c r="T138">
        <v>464039</v>
      </c>
      <c r="U138">
        <v>0</v>
      </c>
      <c r="V138" t="s">
        <v>47</v>
      </c>
      <c r="W138" t="str">
        <f>"Director, Business Development"</f>
        <v>Director, Business Development</v>
      </c>
      <c r="X138" s="1">
        <v>36161</v>
      </c>
      <c r="Y138" t="str">
        <f>"ESD"</f>
        <v>ESD</v>
      </c>
      <c r="Z138" t="str">
        <f>"1-3157932762"</f>
        <v>1-3157932762</v>
      </c>
      <c r="AA138" t="str">
        <f>"620 Erie Blvd. W."</f>
        <v>620 Erie Blvd. W.</v>
      </c>
      <c r="AB138" t="str">
        <f>"Suite 112"</f>
        <v>Suite 112</v>
      </c>
      <c r="AC138" t="str">
        <f>"Syracuse"</f>
        <v>Syracuse</v>
      </c>
      <c r="AD138" t="str">
        <f>"New York"</f>
        <v>New York</v>
      </c>
      <c r="AE138" t="str">
        <f>"13204"</f>
        <v>13204</v>
      </c>
      <c r="AF138" t="s">
        <v>51</v>
      </c>
      <c r="AG138" t="str">
        <f>""</f>
        <v/>
      </c>
      <c r="AH138" t="str">
        <f>"MWBE"</f>
        <v>MWBE</v>
      </c>
      <c r="AI138" t="str">
        <f>"Trade contract you are interested in bidding (use semi-colon to seperate each listing)"</f>
        <v>Trade contract you are interested in bidding (use semi-colon to seperate each listing)</v>
      </c>
      <c r="AJ138" t="str">
        <f>""</f>
        <v/>
      </c>
    </row>
    <row r="139" spans="1:36" x14ac:dyDescent="0.35">
      <c r="A139">
        <v>137</v>
      </c>
      <c r="B139" t="str">
        <f t="shared" si="9"/>
        <v>203620166296150098</v>
      </c>
      <c r="C139">
        <v>1720138377</v>
      </c>
      <c r="D139" t="s">
        <v>37</v>
      </c>
      <c r="E139" t="s">
        <v>38</v>
      </c>
      <c r="F139" t="s">
        <v>39</v>
      </c>
      <c r="G139" t="s">
        <v>40</v>
      </c>
      <c r="H139" t="s">
        <v>41</v>
      </c>
      <c r="I139" t="s">
        <v>42</v>
      </c>
      <c r="J139" t="s">
        <v>43</v>
      </c>
      <c r="K139" t="s">
        <v>389</v>
      </c>
      <c r="L139" t="s">
        <v>390</v>
      </c>
      <c r="M139" t="s">
        <v>391</v>
      </c>
      <c r="N139" t="s">
        <v>47</v>
      </c>
      <c r="O139" t="s">
        <v>48</v>
      </c>
      <c r="P139" t="s">
        <v>48</v>
      </c>
      <c r="Q139" t="s">
        <v>539</v>
      </c>
      <c r="R139" t="s">
        <v>37</v>
      </c>
      <c r="S139" t="s">
        <v>392</v>
      </c>
      <c r="T139">
        <v>568586</v>
      </c>
      <c r="U139">
        <v>0</v>
      </c>
      <c r="V139" t="s">
        <v>48</v>
      </c>
      <c r="W139" t="str">
        <f>"Director of Business Development"</f>
        <v>Director of Business Development</v>
      </c>
      <c r="X139" s="1">
        <v>36161</v>
      </c>
      <c r="Y139" t="str">
        <f>"Bull Ding LLC"</f>
        <v>Bull Ding LLC</v>
      </c>
      <c r="Z139" t="str">
        <f>"1-6469387027"</f>
        <v>1-6469387027</v>
      </c>
      <c r="AA139" t="str">
        <f>"33 West 19th Street"</f>
        <v>33 West 19th Street</v>
      </c>
      <c r="AB139" t="str">
        <f>"Suite 303"</f>
        <v>Suite 303</v>
      </c>
      <c r="AC139" t="str">
        <f>"New York"</f>
        <v>New York</v>
      </c>
      <c r="AD139" t="str">
        <f>"NY"</f>
        <v>NY</v>
      </c>
      <c r="AE139" t="str">
        <f>"10011"</f>
        <v>10011</v>
      </c>
      <c r="AF139" t="s">
        <v>51</v>
      </c>
      <c r="AG139" t="str">
        <f>""</f>
        <v/>
      </c>
      <c r="AH139" t="str">
        <f>"Construction Contractor"</f>
        <v>Construction Contractor</v>
      </c>
      <c r="AI139" t="str">
        <f>"Is your firm a NYS Certified WBE?|Is your firm a Certified MBE?"</f>
        <v>Is your firm a NYS Certified WBE?|Is your firm a Certified MBE?</v>
      </c>
      <c r="AJ139" t="str">
        <f>""</f>
        <v/>
      </c>
    </row>
    <row r="140" spans="1:36" x14ac:dyDescent="0.35">
      <c r="A140">
        <v>138</v>
      </c>
      <c r="B140" t="str">
        <f t="shared" si="9"/>
        <v>203620166296150098</v>
      </c>
      <c r="C140">
        <v>1720138377</v>
      </c>
      <c r="D140" t="s">
        <v>37</v>
      </c>
      <c r="E140" t="s">
        <v>38</v>
      </c>
      <c r="F140" t="s">
        <v>39</v>
      </c>
      <c r="G140" t="s">
        <v>40</v>
      </c>
      <c r="H140" t="s">
        <v>41</v>
      </c>
      <c r="I140" t="s">
        <v>42</v>
      </c>
      <c r="J140" t="s">
        <v>43</v>
      </c>
      <c r="K140" t="s">
        <v>540</v>
      </c>
      <c r="L140" t="s">
        <v>266</v>
      </c>
      <c r="M140" t="s">
        <v>541</v>
      </c>
      <c r="N140" t="s">
        <v>47</v>
      </c>
      <c r="O140" t="s">
        <v>48</v>
      </c>
      <c r="P140" t="s">
        <v>48</v>
      </c>
      <c r="Q140" t="s">
        <v>542</v>
      </c>
      <c r="R140" t="s">
        <v>37</v>
      </c>
      <c r="S140" t="s">
        <v>543</v>
      </c>
      <c r="T140">
        <v>470443</v>
      </c>
      <c r="U140">
        <v>0</v>
      </c>
      <c r="V140" t="s">
        <v>48</v>
      </c>
      <c r="W140" t="str">
        <f>"VICE PRESIDENT"</f>
        <v>VICE PRESIDENT</v>
      </c>
      <c r="X140" s="1">
        <v>36161</v>
      </c>
      <c r="Y140" t="str">
        <f>"C. JAMES PLUMBING AND HEATING, INC"</f>
        <v>C. JAMES PLUMBING AND HEATING, INC</v>
      </c>
      <c r="Z140" t="str">
        <f>"1-7187160065"</f>
        <v>1-7187160065</v>
      </c>
      <c r="AA140" t="str">
        <f>"1833 BATHGATE AVENUE"</f>
        <v>1833 BATHGATE AVENUE</v>
      </c>
      <c r="AB140" t="str">
        <f>"1833 BATHGATE AVE"</f>
        <v>1833 BATHGATE AVE</v>
      </c>
      <c r="AC140" t="str">
        <f>"BRONX"</f>
        <v>BRONX</v>
      </c>
      <c r="AD140" t="str">
        <f>"NY"</f>
        <v>NY</v>
      </c>
      <c r="AE140" t="str">
        <f>"10457"</f>
        <v>10457</v>
      </c>
      <c r="AF140" t="s">
        <v>51</v>
      </c>
      <c r="AG140" t="str">
        <f>""</f>
        <v/>
      </c>
      <c r="AH140" t="str">
        <f>"PLUMBING"</f>
        <v>PLUMBING</v>
      </c>
      <c r="AI140" t="str">
        <f>"Is your firm a Certified MBE?|Has your firm worked on DASNY projects as a prime or sub-contractor?"</f>
        <v>Is your firm a Certified MBE?|Has your firm worked on DASNY projects as a prime or sub-contractor?</v>
      </c>
      <c r="AJ140" t="str">
        <f>""</f>
        <v/>
      </c>
    </row>
    <row r="141" spans="1:36" x14ac:dyDescent="0.35">
      <c r="A141">
        <v>139</v>
      </c>
      <c r="B141" t="str">
        <f t="shared" si="9"/>
        <v>203620166296150098</v>
      </c>
      <c r="C141">
        <v>1720138377</v>
      </c>
      <c r="D141" t="s">
        <v>37</v>
      </c>
      <c r="E141" t="s">
        <v>38</v>
      </c>
      <c r="F141" t="s">
        <v>39</v>
      </c>
      <c r="G141" t="s">
        <v>40</v>
      </c>
      <c r="H141" t="s">
        <v>41</v>
      </c>
      <c r="I141" t="s">
        <v>42</v>
      </c>
      <c r="J141" t="s">
        <v>43</v>
      </c>
      <c r="K141" t="s">
        <v>544</v>
      </c>
      <c r="L141" t="s">
        <v>545</v>
      </c>
      <c r="M141" t="s">
        <v>546</v>
      </c>
      <c r="N141" t="s">
        <v>47</v>
      </c>
      <c r="O141" t="s">
        <v>48</v>
      </c>
      <c r="P141" t="s">
        <v>48</v>
      </c>
      <c r="Q141" t="s">
        <v>547</v>
      </c>
      <c r="R141" t="s">
        <v>37</v>
      </c>
      <c r="S141" t="s">
        <v>548</v>
      </c>
      <c r="T141">
        <v>492663</v>
      </c>
      <c r="U141">
        <v>0</v>
      </c>
      <c r="V141" t="s">
        <v>47</v>
      </c>
      <c r="W141" t="str">
        <f>"Project Manager"</f>
        <v>Project Manager</v>
      </c>
      <c r="X141" s="1">
        <v>36161</v>
      </c>
      <c r="Y141" t="str">
        <f>"Venus Group Inc"</f>
        <v>Venus Group Inc</v>
      </c>
      <c r="Z141" t="str">
        <f>"1-3474805450"</f>
        <v>1-3474805450</v>
      </c>
      <c r="AA141" t="str">
        <f>"97-06"</f>
        <v>97-06</v>
      </c>
      <c r="AB141" t="str">
        <f>"117th St"</f>
        <v>117th St</v>
      </c>
      <c r="AC141" t="str">
        <f>"South RichmondHill"</f>
        <v>South RichmondHill</v>
      </c>
      <c r="AD141" t="str">
        <f>"NY"</f>
        <v>NY</v>
      </c>
      <c r="AE141" t="str">
        <f>"11419"</f>
        <v>11419</v>
      </c>
      <c r="AF141" t="s">
        <v>51</v>
      </c>
      <c r="AG141" t="str">
        <f>""</f>
        <v/>
      </c>
      <c r="AH141" t="str">
        <f>"GC"</f>
        <v>GC</v>
      </c>
      <c r="AI141" t="s">
        <v>52</v>
      </c>
      <c r="AJ141" t="str">
        <f>""</f>
        <v/>
      </c>
    </row>
    <row r="142" spans="1:36" x14ac:dyDescent="0.35">
      <c r="A142">
        <v>140</v>
      </c>
      <c r="B142" t="str">
        <f t="shared" si="9"/>
        <v>203620166296150098</v>
      </c>
      <c r="C142">
        <v>1720138377</v>
      </c>
      <c r="D142" t="s">
        <v>37</v>
      </c>
      <c r="E142" t="s">
        <v>38</v>
      </c>
      <c r="F142" t="s">
        <v>39</v>
      </c>
      <c r="G142" t="s">
        <v>40</v>
      </c>
      <c r="H142" t="s">
        <v>41</v>
      </c>
      <c r="I142" t="s">
        <v>42</v>
      </c>
      <c r="J142" t="s">
        <v>43</v>
      </c>
      <c r="K142" t="s">
        <v>549</v>
      </c>
      <c r="L142" t="s">
        <v>550</v>
      </c>
      <c r="M142" t="s">
        <v>551</v>
      </c>
      <c r="N142" t="s">
        <v>47</v>
      </c>
      <c r="O142" t="s">
        <v>48</v>
      </c>
      <c r="P142" t="s">
        <v>48</v>
      </c>
      <c r="Q142" t="s">
        <v>173</v>
      </c>
      <c r="R142" t="s">
        <v>37</v>
      </c>
      <c r="S142" t="s">
        <v>252</v>
      </c>
      <c r="T142">
        <v>168944</v>
      </c>
      <c r="U142">
        <v>0</v>
      </c>
      <c r="V142" t="s">
        <v>47</v>
      </c>
      <c r="W142" t="str">
        <f>"VP"</f>
        <v>VP</v>
      </c>
      <c r="X142" s="1">
        <v>36161</v>
      </c>
      <c r="Y142" t="str">
        <f>"WDF"</f>
        <v>WDF</v>
      </c>
      <c r="Z142" t="str">
        <f>"1-914 4478460"</f>
        <v>1-914 4478460</v>
      </c>
      <c r="AA142" t="str">
        <f>"30 North MacQuesten Pwy"</f>
        <v>30 North MacQuesten Pwy</v>
      </c>
      <c r="AB142" t="str">
        <f>"Mt Vernon"</f>
        <v>Mt Vernon</v>
      </c>
      <c r="AC142" t="str">
        <f>"Mt Vernon"</f>
        <v>Mt Vernon</v>
      </c>
      <c r="AD142" t="str">
        <f>"New York"</f>
        <v>New York</v>
      </c>
      <c r="AE142" t="str">
        <f>"10550"</f>
        <v>10550</v>
      </c>
      <c r="AF142" t="s">
        <v>51</v>
      </c>
      <c r="AG142" t="str">
        <f>""</f>
        <v/>
      </c>
      <c r="AH142" t="str">
        <f>"GC/Plum/Mech"</f>
        <v>GC/Plum/Mech</v>
      </c>
      <c r="AI142" t="s">
        <v>309</v>
      </c>
      <c r="AJ142" t="str">
        <f>""</f>
        <v/>
      </c>
    </row>
    <row r="143" spans="1:36" x14ac:dyDescent="0.35">
      <c r="A143">
        <v>141</v>
      </c>
      <c r="B143" t="str">
        <f t="shared" si="9"/>
        <v>203620166296150098</v>
      </c>
      <c r="C143">
        <v>1720138377</v>
      </c>
      <c r="D143" t="s">
        <v>37</v>
      </c>
      <c r="E143" t="s">
        <v>38</v>
      </c>
      <c r="F143" t="s">
        <v>39</v>
      </c>
      <c r="G143" t="s">
        <v>40</v>
      </c>
      <c r="H143" t="s">
        <v>41</v>
      </c>
      <c r="I143" t="s">
        <v>42</v>
      </c>
      <c r="J143" t="s">
        <v>43</v>
      </c>
      <c r="K143" t="s">
        <v>552</v>
      </c>
      <c r="L143" t="s">
        <v>553</v>
      </c>
      <c r="M143" t="s">
        <v>554</v>
      </c>
      <c r="N143" t="s">
        <v>47</v>
      </c>
      <c r="O143" t="s">
        <v>48</v>
      </c>
      <c r="P143" t="s">
        <v>48</v>
      </c>
      <c r="Q143" t="s">
        <v>367</v>
      </c>
      <c r="R143" t="s">
        <v>37</v>
      </c>
      <c r="S143" t="s">
        <v>555</v>
      </c>
      <c r="T143">
        <v>903604</v>
      </c>
      <c r="U143">
        <v>0</v>
      </c>
      <c r="V143" t="s">
        <v>48</v>
      </c>
      <c r="W143" t="str">
        <f>"BUSINESS OPERATIONS COORDINATOR"</f>
        <v>BUSINESS OPERATIONS COORDINATOR</v>
      </c>
      <c r="X143" s="1">
        <v>36161</v>
      </c>
      <c r="Y143" t="str">
        <f>"Quality Control laboratories LLC"</f>
        <v>Quality Control laboratories LLC</v>
      </c>
      <c r="Z143" t="str">
        <f>"1-7185456064"</f>
        <v>1-7185456064</v>
      </c>
      <c r="AA143" t="str">
        <f>"25-26 50th Street - Suite 102"</f>
        <v>25-26 50th Street - Suite 102</v>
      </c>
      <c r="AB143" t="str">
        <f>"25-26 50th Street - Suite 102"</f>
        <v>25-26 50th Street - Suite 102</v>
      </c>
      <c r="AC143" t="str">
        <f>"Woodside"</f>
        <v>Woodside</v>
      </c>
      <c r="AD143" t="str">
        <f>"New York"</f>
        <v>New York</v>
      </c>
      <c r="AE143" t="str">
        <f>"11377"</f>
        <v>11377</v>
      </c>
      <c r="AF143" t="s">
        <v>51</v>
      </c>
      <c r="AG143" t="str">
        <f>"NA"</f>
        <v>NA</v>
      </c>
      <c r="AH143" t="str">
        <f>"SPECIAL INSPECTIONS, MATERIAL TESTING, MONITORING, QUALITY CONTROL"</f>
        <v>SPECIAL INSPECTIONS, MATERIAL TESTING, MONITORING, QUALITY CONTROL</v>
      </c>
      <c r="AI143" t="str">
        <f>"Is your firm a NYS Certified WBE?|Is your firm a Certified MBE?|Trade contract you are interested in bidding (use semi-colon to seperate each listing)|Has your firm bid on DASNY JOC contract soliciations?"</f>
        <v>Is your firm a NYS Certified WBE?|Is your firm a Certified MBE?|Trade contract you are interested in bidding (use semi-colon to seperate each listing)|Has your firm bid on DASNY JOC contract soliciations?</v>
      </c>
      <c r="AJ143" t="str">
        <f>"NONE"</f>
        <v>NONE</v>
      </c>
    </row>
    <row r="144" spans="1:36" x14ac:dyDescent="0.35">
      <c r="A144">
        <v>142</v>
      </c>
      <c r="B144" t="str">
        <f t="shared" si="9"/>
        <v>203620166296150098</v>
      </c>
      <c r="C144">
        <v>1720138377</v>
      </c>
      <c r="D144" t="s">
        <v>37</v>
      </c>
      <c r="E144" t="s">
        <v>38</v>
      </c>
      <c r="F144" t="s">
        <v>39</v>
      </c>
      <c r="G144" t="s">
        <v>40</v>
      </c>
      <c r="H144" t="s">
        <v>41</v>
      </c>
      <c r="I144" t="s">
        <v>42</v>
      </c>
      <c r="J144" t="s">
        <v>43</v>
      </c>
      <c r="K144" t="s">
        <v>556</v>
      </c>
      <c r="L144" t="s">
        <v>557</v>
      </c>
      <c r="M144" t="s">
        <v>558</v>
      </c>
      <c r="N144" t="s">
        <v>47</v>
      </c>
      <c r="O144" t="s">
        <v>48</v>
      </c>
      <c r="P144" t="s">
        <v>48</v>
      </c>
      <c r="Q144" t="s">
        <v>559</v>
      </c>
      <c r="R144" t="s">
        <v>37</v>
      </c>
      <c r="S144" t="s">
        <v>560</v>
      </c>
      <c r="T144">
        <v>115116</v>
      </c>
      <c r="U144">
        <v>0</v>
      </c>
      <c r="V144" t="s">
        <v>47</v>
      </c>
      <c r="W144" t="str">
        <f>"OPG"</f>
        <v>OPG</v>
      </c>
      <c r="X144" s="1">
        <v>36161</v>
      </c>
      <c r="Y144" t="str">
        <f>"DASNY (Dormitory Authority - NYS)"</f>
        <v>DASNY (Dormitory Authority - NYS)</v>
      </c>
      <c r="Z144" t="str">
        <f>"1-12122735067"</f>
        <v>1-12122735067</v>
      </c>
      <c r="AA144" t="str">
        <f>"28 Liberty Street"</f>
        <v>28 Liberty Street</v>
      </c>
      <c r="AB144" t="str">
        <f>"n/a"</f>
        <v>n/a</v>
      </c>
      <c r="AC144" t="str">
        <f>"New York"</f>
        <v>New York</v>
      </c>
      <c r="AD144" t="str">
        <f>"NY"</f>
        <v>NY</v>
      </c>
      <c r="AE144" t="str">
        <f>"10005"</f>
        <v>10005</v>
      </c>
      <c r="AF144" t="s">
        <v>51</v>
      </c>
      <c r="AG144" t="str">
        <f>"n/a"</f>
        <v>n/a</v>
      </c>
      <c r="AH144" t="str">
        <f>"n/a"</f>
        <v>n/a</v>
      </c>
      <c r="AI144" t="str">
        <f>"Has your firm bid on DASNY JOC contract soliciations?"</f>
        <v>Has your firm bid on DASNY JOC contract soliciations?</v>
      </c>
      <c r="AJ144" t="str">
        <f>"n/a"</f>
        <v>n/a</v>
      </c>
    </row>
    <row r="145" spans="1:36" x14ac:dyDescent="0.35">
      <c r="A145">
        <v>143</v>
      </c>
      <c r="B145" t="str">
        <f t="shared" si="9"/>
        <v>203620166296150098</v>
      </c>
      <c r="C145">
        <v>1720138377</v>
      </c>
      <c r="D145" t="s">
        <v>37</v>
      </c>
      <c r="E145" t="s">
        <v>38</v>
      </c>
      <c r="F145" t="s">
        <v>39</v>
      </c>
      <c r="G145" t="s">
        <v>40</v>
      </c>
      <c r="H145" t="s">
        <v>41</v>
      </c>
      <c r="I145" t="s">
        <v>42</v>
      </c>
      <c r="J145" t="s">
        <v>43</v>
      </c>
      <c r="K145" t="s">
        <v>561</v>
      </c>
      <c r="L145" t="s">
        <v>562</v>
      </c>
      <c r="M145" t="s">
        <v>563</v>
      </c>
      <c r="N145" t="s">
        <v>47</v>
      </c>
      <c r="O145" t="s">
        <v>48</v>
      </c>
      <c r="P145" t="s">
        <v>48</v>
      </c>
      <c r="Q145" t="s">
        <v>66</v>
      </c>
      <c r="R145" t="s">
        <v>37</v>
      </c>
      <c r="S145" t="s">
        <v>538</v>
      </c>
      <c r="T145">
        <v>881666</v>
      </c>
      <c r="U145">
        <v>0</v>
      </c>
      <c r="V145" t="s">
        <v>48</v>
      </c>
      <c r="W145" t="str">
        <f>"Contract Management Specialist"</f>
        <v>Contract Management Specialist</v>
      </c>
      <c r="X145" s="1">
        <v>36161</v>
      </c>
      <c r="Y145" t="str">
        <f>"NYS OGS - Division of Service-Disabled Veterans' Business Development"</f>
        <v>NYS OGS - Division of Service-Disabled Veterans' Business Development</v>
      </c>
      <c r="Z145" t="str">
        <f>"1-5184742015"</f>
        <v>1-5184742015</v>
      </c>
      <c r="AA145" t="str">
        <f>"Corning Tower"</f>
        <v>Corning Tower</v>
      </c>
      <c r="AB145" t="str">
        <f>"Empire State Plaza"</f>
        <v>Empire State Plaza</v>
      </c>
      <c r="AC145" t="str">
        <f>"Albany"</f>
        <v>Albany</v>
      </c>
      <c r="AD145" t="str">
        <f>"NY"</f>
        <v>NY</v>
      </c>
      <c r="AE145" t="str">
        <f>"12242"</f>
        <v>12242</v>
      </c>
      <c r="AF145" t="s">
        <v>51</v>
      </c>
      <c r="AG145" t="str">
        <f>""</f>
        <v/>
      </c>
      <c r="AH145" t="str">
        <f>"government"</f>
        <v>government</v>
      </c>
      <c r="AI145" t="str">
        <f>"Has your firm bid on DASNY JOC contract soliciations?"</f>
        <v>Has your firm bid on DASNY JOC contract soliciations?</v>
      </c>
      <c r="AJ145" t="str">
        <f>""</f>
        <v/>
      </c>
    </row>
    <row r="146" spans="1:36" x14ac:dyDescent="0.35">
      <c r="A146">
        <v>144</v>
      </c>
      <c r="B146" t="str">
        <f t="shared" si="9"/>
        <v>203620166296150098</v>
      </c>
      <c r="C146">
        <v>1720138377</v>
      </c>
      <c r="D146" t="s">
        <v>37</v>
      </c>
      <c r="E146" t="s">
        <v>38</v>
      </c>
      <c r="F146" t="s">
        <v>39</v>
      </c>
      <c r="G146" t="s">
        <v>40</v>
      </c>
      <c r="H146" t="s">
        <v>41</v>
      </c>
      <c r="I146" t="s">
        <v>42</v>
      </c>
      <c r="J146" t="s">
        <v>43</v>
      </c>
      <c r="K146" t="s">
        <v>377</v>
      </c>
      <c r="L146" t="s">
        <v>378</v>
      </c>
      <c r="M146" t="s">
        <v>379</v>
      </c>
      <c r="N146" t="s">
        <v>47</v>
      </c>
      <c r="O146" t="s">
        <v>48</v>
      </c>
      <c r="P146" t="s">
        <v>48</v>
      </c>
      <c r="Q146" t="s">
        <v>564</v>
      </c>
      <c r="R146" t="s">
        <v>37</v>
      </c>
      <c r="S146" t="s">
        <v>380</v>
      </c>
      <c r="T146">
        <v>362656</v>
      </c>
      <c r="U146">
        <v>0</v>
      </c>
      <c r="V146" t="s">
        <v>48</v>
      </c>
      <c r="W146" t="str">
        <f>"Estimator"</f>
        <v>Estimator</v>
      </c>
      <c r="X146" s="1">
        <v>36161</v>
      </c>
      <c r="Y146" t="str">
        <f>"Family Danz Mechanical"</f>
        <v>Family Danz Mechanical</v>
      </c>
      <c r="Z146" t="str">
        <f>"1-5184278685"</f>
        <v>1-5184278685</v>
      </c>
      <c r="AA146" t="str">
        <f>"40 pleasant street"</f>
        <v>40 pleasant street</v>
      </c>
      <c r="AB146" t="str">
        <f>"."</f>
        <v>.</v>
      </c>
      <c r="AC146" t="str">
        <f>"Albany"</f>
        <v>Albany</v>
      </c>
      <c r="AD146" t="str">
        <f>"New York"</f>
        <v>New York</v>
      </c>
      <c r="AE146" t="str">
        <f>"12207"</f>
        <v>12207</v>
      </c>
      <c r="AF146" t="s">
        <v>51</v>
      </c>
      <c r="AG146" t="str">
        <f>""</f>
        <v/>
      </c>
      <c r="AH146" t="str">
        <f>"HVAC"</f>
        <v>HVAC</v>
      </c>
      <c r="AI146" t="str">
        <f>"Has your firm worked on DASNY projects as a prime or sub-contractor?|Has your firm bid on DASNY JOC contract soliciations?"</f>
        <v>Has your firm worked on DASNY projects as a prime or sub-contractor?|Has your firm bid on DASNY JOC contract soliciations?</v>
      </c>
      <c r="AJ146" t="str">
        <f>""</f>
        <v/>
      </c>
    </row>
    <row r="147" spans="1:36" x14ac:dyDescent="0.35">
      <c r="A147">
        <v>145</v>
      </c>
      <c r="B147" t="str">
        <f t="shared" si="9"/>
        <v>203620166296150098</v>
      </c>
      <c r="C147">
        <v>1720138377</v>
      </c>
      <c r="D147" t="s">
        <v>37</v>
      </c>
      <c r="E147" t="s">
        <v>38</v>
      </c>
      <c r="F147" t="s">
        <v>39</v>
      </c>
      <c r="G147" t="s">
        <v>40</v>
      </c>
      <c r="H147" t="s">
        <v>41</v>
      </c>
      <c r="I147" t="s">
        <v>42</v>
      </c>
      <c r="J147" t="s">
        <v>43</v>
      </c>
      <c r="K147" t="s">
        <v>565</v>
      </c>
      <c r="L147" t="s">
        <v>566</v>
      </c>
      <c r="M147" t="s">
        <v>567</v>
      </c>
      <c r="N147" t="s">
        <v>47</v>
      </c>
      <c r="O147" t="s">
        <v>48</v>
      </c>
      <c r="P147" t="s">
        <v>48</v>
      </c>
      <c r="Q147" t="s">
        <v>242</v>
      </c>
      <c r="R147" t="s">
        <v>37</v>
      </c>
      <c r="S147" t="s">
        <v>351</v>
      </c>
      <c r="T147">
        <v>565188</v>
      </c>
      <c r="U147">
        <v>0</v>
      </c>
      <c r="V147" t="s">
        <v>48</v>
      </c>
      <c r="W147" t="str">
        <f>"Office Manager"</f>
        <v>Office Manager</v>
      </c>
      <c r="X147" s="1">
        <v>36161</v>
      </c>
      <c r="Y147" t="str">
        <f>"Thorn Electric Inc."</f>
        <v>Thorn Electric Inc.</v>
      </c>
      <c r="Z147" t="str">
        <f>"1-7185290813"</f>
        <v>1-7185290813</v>
      </c>
      <c r="AA147" t="str">
        <f>"10701 Rockaway Blvd"</f>
        <v>10701 Rockaway Blvd</v>
      </c>
      <c r="AB147" t="str">
        <f>"1st fl"</f>
        <v>1st fl</v>
      </c>
      <c r="AC147" t="str">
        <f>"Ozone Park"</f>
        <v>Ozone Park</v>
      </c>
      <c r="AD147" t="str">
        <f>"New York"</f>
        <v>New York</v>
      </c>
      <c r="AE147" t="str">
        <f>"11417"</f>
        <v>11417</v>
      </c>
      <c r="AF147" t="s">
        <v>51</v>
      </c>
      <c r="AG147" t="str">
        <f>"10 million"</f>
        <v>10 million</v>
      </c>
      <c r="AH147" t="str">
        <f>"electrical"</f>
        <v>electrical</v>
      </c>
      <c r="AI147" t="s">
        <v>568</v>
      </c>
      <c r="AJ147" t="str">
        <f>"5 million"</f>
        <v>5 million</v>
      </c>
    </row>
    <row r="148" spans="1:36" x14ac:dyDescent="0.35">
      <c r="A148">
        <v>146</v>
      </c>
      <c r="B148" t="str">
        <f t="shared" si="9"/>
        <v>203620166296150098</v>
      </c>
      <c r="C148">
        <v>1720138377</v>
      </c>
      <c r="D148" t="s">
        <v>37</v>
      </c>
      <c r="E148" t="s">
        <v>38</v>
      </c>
      <c r="F148" t="s">
        <v>39</v>
      </c>
      <c r="G148" t="s">
        <v>40</v>
      </c>
      <c r="H148" t="s">
        <v>41</v>
      </c>
      <c r="I148" t="s">
        <v>42</v>
      </c>
      <c r="J148" t="s">
        <v>43</v>
      </c>
      <c r="K148" t="s">
        <v>210</v>
      </c>
      <c r="L148" t="s">
        <v>211</v>
      </c>
      <c r="M148" t="s">
        <v>212</v>
      </c>
      <c r="N148" t="s">
        <v>47</v>
      </c>
      <c r="O148" t="s">
        <v>48</v>
      </c>
      <c r="P148" t="s">
        <v>48</v>
      </c>
      <c r="Q148" t="s">
        <v>163</v>
      </c>
      <c r="R148" t="s">
        <v>37</v>
      </c>
      <c r="S148" t="s">
        <v>214</v>
      </c>
      <c r="T148">
        <v>889420</v>
      </c>
      <c r="U148">
        <v>0</v>
      </c>
      <c r="V148" t="s">
        <v>48</v>
      </c>
      <c r="W148" t="str">
        <f>"CEP"</f>
        <v>CEP</v>
      </c>
      <c r="X148" s="1">
        <v>36161</v>
      </c>
      <c r="Y148" t="str">
        <f>"Where To Get It Services, LLC"</f>
        <v>Where To Get It Services, LLC</v>
      </c>
      <c r="Z148" t="str">
        <f>"1-3474894482"</f>
        <v>1-3474894482</v>
      </c>
      <c r="AA148" t="str">
        <f>"1395 Pacific St., Suite B"</f>
        <v>1395 Pacific St., Suite B</v>
      </c>
      <c r="AB148" t="str">
        <f>"Brooklyn"</f>
        <v>Brooklyn</v>
      </c>
      <c r="AC148" t="str">
        <f>"New York"</f>
        <v>New York</v>
      </c>
      <c r="AD148" t="str">
        <f>"United States"</f>
        <v>United States</v>
      </c>
      <c r="AE148" t="str">
        <f>"11216"</f>
        <v>11216</v>
      </c>
      <c r="AF148" t="s">
        <v>51</v>
      </c>
      <c r="AG148" t="str">
        <f>"750,000.00"</f>
        <v>750,000.00</v>
      </c>
      <c r="AH148" t="str">
        <f>"Interior Finishes"</f>
        <v>Interior Finishes</v>
      </c>
      <c r="AI148" t="str">
        <f>"Is your firm a NYS Certified WBE?|Is your firm a Certified MBE?|Trade contract you are interested in bidding (use semi-colon to seperate each listing)|Has your firm worked on DASNY projects as a prime or sub-contractor?"</f>
        <v>Is your firm a NYS Certified WBE?|Is your firm a Certified MBE?|Trade contract you are interested in bidding (use semi-colon to seperate each listing)|Has your firm worked on DASNY projects as a prime or sub-contractor?</v>
      </c>
      <c r="AJ148" t="str">
        <f>"750,000.00"</f>
        <v>750,000.00</v>
      </c>
    </row>
    <row r="149" spans="1:36" x14ac:dyDescent="0.35">
      <c r="A149">
        <v>147</v>
      </c>
      <c r="B149" t="str">
        <f t="shared" si="9"/>
        <v>203620166296150098</v>
      </c>
      <c r="C149">
        <v>1720138377</v>
      </c>
      <c r="D149" t="s">
        <v>37</v>
      </c>
      <c r="E149" t="s">
        <v>38</v>
      </c>
      <c r="F149" t="s">
        <v>39</v>
      </c>
      <c r="G149" t="s">
        <v>40</v>
      </c>
      <c r="H149" t="s">
        <v>41</v>
      </c>
      <c r="I149" t="s">
        <v>42</v>
      </c>
      <c r="J149" t="s">
        <v>43</v>
      </c>
      <c r="K149" t="s">
        <v>569</v>
      </c>
      <c r="L149" t="s">
        <v>570</v>
      </c>
      <c r="M149" t="s">
        <v>571</v>
      </c>
      <c r="N149" t="s">
        <v>47</v>
      </c>
      <c r="O149" t="s">
        <v>48</v>
      </c>
      <c r="P149" t="s">
        <v>48</v>
      </c>
      <c r="Q149" t="s">
        <v>572</v>
      </c>
      <c r="R149" t="s">
        <v>37</v>
      </c>
      <c r="S149" t="s">
        <v>573</v>
      </c>
      <c r="T149">
        <v>702234</v>
      </c>
      <c r="U149">
        <v>0</v>
      </c>
      <c r="V149" t="s">
        <v>48</v>
      </c>
      <c r="W149" t="str">
        <f>"client rep"</f>
        <v>client rep</v>
      </c>
      <c r="X149" s="1">
        <v>36161</v>
      </c>
      <c r="Y149" t="str">
        <f>"ICP"</f>
        <v>ICP</v>
      </c>
      <c r="Z149" t="str">
        <f>"1-17185566813"</f>
        <v>1-17185566813</v>
      </c>
      <c r="AA149" t="str">
        <f>"20 clifton ave"</f>
        <v>20 clifton ave</v>
      </c>
      <c r="AB149" t="str">
        <f>"20 clifton ave"</f>
        <v>20 clifton ave</v>
      </c>
      <c r="AC149" t="str">
        <f>"holmdel"</f>
        <v>holmdel</v>
      </c>
      <c r="AD149" t="str">
        <f>"ny"</f>
        <v>ny</v>
      </c>
      <c r="AE149" t="str">
        <f>"07733"</f>
        <v>07733</v>
      </c>
      <c r="AF149" t="s">
        <v>51</v>
      </c>
      <c r="AG149" t="str">
        <f>"5,000,000"</f>
        <v>5,000,000</v>
      </c>
      <c r="AH149" t="str">
        <f>"electrical"</f>
        <v>electrical</v>
      </c>
      <c r="AI149" t="str">
        <f>"Is your firm a NYS Certified WBE?|Is your firm a Certified MBE?|Is your firm currently a DASNY JOC Contractor?|Has your firm worked on DASNY projects as a prime or sub-contractor?|Has your firm bid on DASNY JOC contract soliciations?"</f>
        <v>Is your firm a NYS Certified WBE?|Is your firm a Certified MBE?|Is your firm currently a DASNY JOC Contractor?|Has your firm worked on DASNY projects as a prime or sub-contractor?|Has your firm bid on DASNY JOC contract soliciations?</v>
      </c>
      <c r="AJ149" t="str">
        <f>"25,000,000"</f>
        <v>25,000,000</v>
      </c>
    </row>
    <row r="150" spans="1:36" x14ac:dyDescent="0.35">
      <c r="A150">
        <v>148</v>
      </c>
      <c r="B150" t="str">
        <f t="shared" si="9"/>
        <v>203620166296150098</v>
      </c>
      <c r="C150">
        <v>1720138377</v>
      </c>
      <c r="D150" t="s">
        <v>37</v>
      </c>
      <c r="E150" t="s">
        <v>38</v>
      </c>
      <c r="F150" t="s">
        <v>39</v>
      </c>
      <c r="G150" t="s">
        <v>40</v>
      </c>
      <c r="H150" t="s">
        <v>41</v>
      </c>
      <c r="I150" t="s">
        <v>42</v>
      </c>
      <c r="J150" t="s">
        <v>106</v>
      </c>
      <c r="K150" t="s">
        <v>107</v>
      </c>
      <c r="L150" t="s">
        <v>108</v>
      </c>
      <c r="M150" t="s">
        <v>109</v>
      </c>
      <c r="N150" t="s">
        <v>48</v>
      </c>
      <c r="O150" t="s">
        <v>48</v>
      </c>
      <c r="P150" t="s">
        <v>48</v>
      </c>
      <c r="Q150" t="s">
        <v>574</v>
      </c>
      <c r="R150" t="s">
        <v>37</v>
      </c>
      <c r="S150" t="s">
        <v>111</v>
      </c>
      <c r="T150">
        <v>123030</v>
      </c>
      <c r="U150">
        <v>0</v>
      </c>
      <c r="V150" t="s">
        <v>47</v>
      </c>
      <c r="W150" t="str">
        <f>"Sr Director OPG"</f>
        <v>Sr Director OPG</v>
      </c>
      <c r="X150" s="1">
        <v>36161</v>
      </c>
      <c r="Y150" t="str">
        <f>"DASNY"</f>
        <v>DASNY</v>
      </c>
      <c r="Z150" t="str">
        <f>"1-5182573000"</f>
        <v>1-5182573000</v>
      </c>
      <c r="AA150" t="str">
        <f>"515 Broadway"</f>
        <v>515 Broadway</v>
      </c>
      <c r="AB150" t="str">
        <f>"3rd floor"</f>
        <v>3rd floor</v>
      </c>
      <c r="AC150" t="str">
        <f>"Albany"</f>
        <v>Albany</v>
      </c>
      <c r="AD150" t="str">
        <f>"NY"</f>
        <v>NY</v>
      </c>
      <c r="AE150" t="str">
        <f>"12207"</f>
        <v>12207</v>
      </c>
      <c r="AF150" t="s">
        <v>51</v>
      </c>
      <c r="AG150" t="str">
        <f>"5M"</f>
        <v>5M</v>
      </c>
      <c r="AH150" t="str">
        <f>"OPG"</f>
        <v>OPG</v>
      </c>
      <c r="AI150" t="str">
        <f>"Is your firm a NYS Certified WBE?"</f>
        <v>Is your firm a NYS Certified WBE?</v>
      </c>
      <c r="AJ150" t="str">
        <f>"40M"</f>
        <v>40M</v>
      </c>
    </row>
    <row r="151" spans="1:36" x14ac:dyDescent="0.35">
      <c r="A151">
        <v>149</v>
      </c>
      <c r="B151" t="str">
        <f t="shared" si="9"/>
        <v>203620166296150098</v>
      </c>
      <c r="C151">
        <v>1720138377</v>
      </c>
      <c r="D151" t="s">
        <v>37</v>
      </c>
      <c r="E151" t="s">
        <v>38</v>
      </c>
      <c r="F151" t="s">
        <v>39</v>
      </c>
      <c r="G151" t="s">
        <v>40</v>
      </c>
      <c r="H151" t="s">
        <v>41</v>
      </c>
      <c r="I151" t="s">
        <v>42</v>
      </c>
      <c r="J151" t="s">
        <v>43</v>
      </c>
      <c r="K151" t="s">
        <v>575</v>
      </c>
      <c r="L151" t="s">
        <v>576</v>
      </c>
      <c r="M151" t="s">
        <v>577</v>
      </c>
      <c r="N151" t="s">
        <v>47</v>
      </c>
      <c r="O151" t="s">
        <v>48</v>
      </c>
      <c r="P151" t="s">
        <v>48</v>
      </c>
      <c r="Q151" t="s">
        <v>209</v>
      </c>
      <c r="R151" t="s">
        <v>37</v>
      </c>
      <c r="S151" t="s">
        <v>578</v>
      </c>
      <c r="T151">
        <v>548492</v>
      </c>
      <c r="U151">
        <v>0</v>
      </c>
      <c r="V151" t="s">
        <v>48</v>
      </c>
      <c r="W151" t="str">
        <f>"President"</f>
        <v>President</v>
      </c>
      <c r="X151" s="1">
        <v>36161</v>
      </c>
      <c r="Y151" t="str">
        <f>"HMI Mechanical"</f>
        <v>HMI Mechanical</v>
      </c>
      <c r="Z151" t="str">
        <f>"1-3159466903"</f>
        <v>1-3159466903</v>
      </c>
      <c r="AA151" t="str">
        <f>"17 Thurber Drive"</f>
        <v>17 Thurber Drive</v>
      </c>
      <c r="AB151" t="str">
        <f>"Thurber"</f>
        <v>Thurber</v>
      </c>
      <c r="AC151" t="str">
        <f>"Waterloo"</f>
        <v>Waterloo</v>
      </c>
      <c r="AD151" t="str">
        <f>"New York"</f>
        <v>New York</v>
      </c>
      <c r="AE151" t="str">
        <f>"13165"</f>
        <v>13165</v>
      </c>
      <c r="AF151" t="s">
        <v>51</v>
      </c>
      <c r="AG151" t="str">
        <f>"6 million"</f>
        <v>6 million</v>
      </c>
      <c r="AH151" t="str">
        <f>"HVAC/plumbing"</f>
        <v>HVAC/plumbing</v>
      </c>
      <c r="AI151" t="str">
        <f>"Trade contract you are interested in bidding (use semi-colon to seperate each listing)|Has your firm worked on DASNY projects as a prime or sub-contractor?|Has your firm bid on DASNY JOC contract soliciations?"</f>
        <v>Trade contract you are interested in bidding (use semi-colon to seperate each listing)|Has your firm worked on DASNY projects as a prime or sub-contractor?|Has your firm bid on DASNY JOC contract soliciations?</v>
      </c>
      <c r="AJ151" t="str">
        <f>"18 million"</f>
        <v>18 million</v>
      </c>
    </row>
    <row r="152" spans="1:36" x14ac:dyDescent="0.35">
      <c r="A152">
        <v>150</v>
      </c>
      <c r="B152" t="str">
        <f t="shared" si="9"/>
        <v>203620166296150098</v>
      </c>
      <c r="C152">
        <v>1720138377</v>
      </c>
      <c r="D152" t="s">
        <v>37</v>
      </c>
      <c r="E152" t="s">
        <v>38</v>
      </c>
      <c r="F152" t="s">
        <v>39</v>
      </c>
      <c r="G152" t="s">
        <v>40</v>
      </c>
      <c r="H152" t="s">
        <v>41</v>
      </c>
      <c r="I152" t="s">
        <v>42</v>
      </c>
      <c r="J152" t="s">
        <v>43</v>
      </c>
      <c r="K152" t="s">
        <v>204</v>
      </c>
      <c r="L152" t="s">
        <v>205</v>
      </c>
      <c r="M152" t="s">
        <v>206</v>
      </c>
      <c r="N152" t="s">
        <v>47</v>
      </c>
      <c r="O152" t="s">
        <v>48</v>
      </c>
      <c r="P152" t="s">
        <v>48</v>
      </c>
      <c r="Q152" t="s">
        <v>93</v>
      </c>
      <c r="R152" t="s">
        <v>37</v>
      </c>
      <c r="S152" t="s">
        <v>207</v>
      </c>
      <c r="T152">
        <v>737868</v>
      </c>
      <c r="U152">
        <v>0</v>
      </c>
      <c r="V152" t="s">
        <v>48</v>
      </c>
      <c r="W152" t="str">
        <f>"Account Manager"</f>
        <v>Account Manager</v>
      </c>
      <c r="X152" t="s">
        <v>208</v>
      </c>
      <c r="Y152" t="str">
        <f>"Gordian"</f>
        <v>Gordian</v>
      </c>
      <c r="Z152" t="str">
        <f>"1-2038854297"</f>
        <v>1-2038854297</v>
      </c>
      <c r="AA152" t="str">
        <f>"139 Havemeyer Pl"</f>
        <v>139 Havemeyer Pl</v>
      </c>
      <c r="AB152" t="str">
        <f>"1"</f>
        <v>1</v>
      </c>
      <c r="AC152" t="str">
        <f>"Greenwich"</f>
        <v>Greenwich</v>
      </c>
      <c r="AD152" t="str">
        <f>"CT"</f>
        <v>CT</v>
      </c>
      <c r="AE152" t="str">
        <f>"06830-6337"</f>
        <v>06830-6337</v>
      </c>
      <c r="AF152" t="s">
        <v>51</v>
      </c>
      <c r="AG152" t="str">
        <f>""</f>
        <v/>
      </c>
      <c r="AH152" t="str">
        <f>"Construction"</f>
        <v>Construction</v>
      </c>
      <c r="AI152" t="str">
        <f>"Is your firm currently a DASNY JOC Contractor?"</f>
        <v>Is your firm currently a DASNY JOC Contractor?</v>
      </c>
      <c r="AJ152" t="str">
        <f>""</f>
        <v/>
      </c>
    </row>
    <row r="153" spans="1:36" x14ac:dyDescent="0.35">
      <c r="A153">
        <v>151</v>
      </c>
      <c r="B153" t="str">
        <f t="shared" si="9"/>
        <v>203620166296150098</v>
      </c>
      <c r="C153">
        <v>1720138377</v>
      </c>
      <c r="D153" t="s">
        <v>37</v>
      </c>
      <c r="E153" t="s">
        <v>38</v>
      </c>
      <c r="F153" t="s">
        <v>39</v>
      </c>
      <c r="G153" t="s">
        <v>40</v>
      </c>
      <c r="H153" t="s">
        <v>41</v>
      </c>
      <c r="I153" t="s">
        <v>42</v>
      </c>
      <c r="J153" t="s">
        <v>43</v>
      </c>
      <c r="K153" t="s">
        <v>450</v>
      </c>
      <c r="L153" t="s">
        <v>451</v>
      </c>
      <c r="M153" t="s">
        <v>452</v>
      </c>
      <c r="N153" t="s">
        <v>47</v>
      </c>
      <c r="O153" t="s">
        <v>48</v>
      </c>
      <c r="P153" t="s">
        <v>48</v>
      </c>
      <c r="Q153" t="s">
        <v>579</v>
      </c>
      <c r="R153" t="s">
        <v>37</v>
      </c>
      <c r="S153" t="s">
        <v>454</v>
      </c>
      <c r="T153">
        <v>200563</v>
      </c>
      <c r="U153">
        <v>0</v>
      </c>
      <c r="V153" t="s">
        <v>47</v>
      </c>
      <c r="W153" t="str">
        <f>"owner"</f>
        <v>owner</v>
      </c>
      <c r="X153" s="1">
        <v>36161</v>
      </c>
      <c r="Y153" t="str">
        <f>"Aleut Electric"</f>
        <v>Aleut Electric</v>
      </c>
      <c r="Z153" t="str">
        <f>"1-6076564173"</f>
        <v>1-6076564173</v>
      </c>
      <c r="AA153" t="str">
        <f>"691 Hotchkiss Road"</f>
        <v>691 Hotchkiss Road</v>
      </c>
      <c r="AB153" t="str">
        <f>"691 Hotchkiss Road"</f>
        <v>691 Hotchkiss Road</v>
      </c>
      <c r="AC153" t="str">
        <f>"Greene"</f>
        <v>Greene</v>
      </c>
      <c r="AD153" t="str">
        <f>"ny"</f>
        <v>ny</v>
      </c>
      <c r="AE153" t="str">
        <f>"13778"</f>
        <v>13778</v>
      </c>
      <c r="AF153" t="s">
        <v>51</v>
      </c>
      <c r="AG153" t="str">
        <f>""</f>
        <v/>
      </c>
      <c r="AH153" t="str">
        <f>"Electrical"</f>
        <v>Electrical</v>
      </c>
      <c r="AI153" t="str">
        <f>"Is your firm a NYS Certified WBE?|Is your firm a Certified MBE?|Has your firm worked on DASNY projects as a prime or sub-contractor?"</f>
        <v>Is your firm a NYS Certified WBE?|Is your firm a Certified MBE?|Has your firm worked on DASNY projects as a prime or sub-contractor?</v>
      </c>
      <c r="AJ153" t="str">
        <f>""</f>
        <v/>
      </c>
    </row>
    <row r="154" spans="1:36" x14ac:dyDescent="0.35">
      <c r="A154">
        <v>152</v>
      </c>
      <c r="B154" t="str">
        <f t="shared" si="9"/>
        <v>203620166296150098</v>
      </c>
      <c r="C154">
        <v>1720138377</v>
      </c>
      <c r="D154" t="s">
        <v>37</v>
      </c>
      <c r="E154" t="s">
        <v>38</v>
      </c>
      <c r="F154" t="s">
        <v>39</v>
      </c>
      <c r="G154" t="s">
        <v>40</v>
      </c>
      <c r="H154" t="s">
        <v>41</v>
      </c>
      <c r="I154" t="s">
        <v>42</v>
      </c>
      <c r="J154" t="s">
        <v>43</v>
      </c>
      <c r="K154" t="s">
        <v>210</v>
      </c>
      <c r="L154" t="s">
        <v>211</v>
      </c>
      <c r="M154" t="s">
        <v>212</v>
      </c>
      <c r="N154" t="s">
        <v>47</v>
      </c>
      <c r="O154" t="s">
        <v>48</v>
      </c>
      <c r="P154" t="s">
        <v>48</v>
      </c>
      <c r="Q154" t="s">
        <v>227</v>
      </c>
      <c r="R154" t="s">
        <v>37</v>
      </c>
      <c r="S154" t="s">
        <v>214</v>
      </c>
      <c r="T154">
        <v>889420</v>
      </c>
      <c r="U154">
        <v>0</v>
      </c>
      <c r="V154" t="s">
        <v>48</v>
      </c>
      <c r="W154" t="str">
        <f>"CEP"</f>
        <v>CEP</v>
      </c>
      <c r="X154" s="1">
        <v>36161</v>
      </c>
      <c r="Y154" t="str">
        <f>"Where To Get It Services, LLC"</f>
        <v>Where To Get It Services, LLC</v>
      </c>
      <c r="Z154" t="str">
        <f>"1-3474894482"</f>
        <v>1-3474894482</v>
      </c>
      <c r="AA154" t="str">
        <f>"1395 Pacific St., Suite B"</f>
        <v>1395 Pacific St., Suite B</v>
      </c>
      <c r="AB154" t="str">
        <f>"Brooklyn"</f>
        <v>Brooklyn</v>
      </c>
      <c r="AC154" t="str">
        <f>"New York"</f>
        <v>New York</v>
      </c>
      <c r="AD154" t="str">
        <f>"United States"</f>
        <v>United States</v>
      </c>
      <c r="AE154" t="str">
        <f>"11216"</f>
        <v>11216</v>
      </c>
      <c r="AF154" t="s">
        <v>51</v>
      </c>
      <c r="AG154" t="str">
        <f>"750,000.00"</f>
        <v>750,000.00</v>
      </c>
      <c r="AH154" t="str">
        <f>"Interior Finishes"</f>
        <v>Interior Finishes</v>
      </c>
      <c r="AI154" t="str">
        <f>"Is your firm a NYS Certified WBE?|Is your firm a Certified MBE?|Trade contract you are interested in bidding (use semi-colon to seperate each listing)|Has your firm worked on DASNY projects as a prime or sub-contractor?"</f>
        <v>Is your firm a NYS Certified WBE?|Is your firm a Certified MBE?|Trade contract you are interested in bidding (use semi-colon to seperate each listing)|Has your firm worked on DASNY projects as a prime or sub-contractor?</v>
      </c>
      <c r="AJ154" t="str">
        <f>"750,000.00"</f>
        <v>750,000.00</v>
      </c>
    </row>
    <row r="155" spans="1:36" x14ac:dyDescent="0.35">
      <c r="A155">
        <v>153</v>
      </c>
      <c r="B155" t="str">
        <f t="shared" si="9"/>
        <v>203620166296150098</v>
      </c>
      <c r="C155">
        <v>1720138377</v>
      </c>
      <c r="D155" t="s">
        <v>37</v>
      </c>
      <c r="E155" t="s">
        <v>38</v>
      </c>
      <c r="F155" t="s">
        <v>39</v>
      </c>
      <c r="G155" t="s">
        <v>40</v>
      </c>
      <c r="H155" t="s">
        <v>41</v>
      </c>
      <c r="I155" t="s">
        <v>42</v>
      </c>
      <c r="J155" t="s">
        <v>106</v>
      </c>
      <c r="K155" t="s">
        <v>580</v>
      </c>
      <c r="L155" t="s">
        <v>581</v>
      </c>
      <c r="M155" t="s">
        <v>582</v>
      </c>
      <c r="N155" t="s">
        <v>48</v>
      </c>
      <c r="O155" t="s">
        <v>48</v>
      </c>
      <c r="P155" t="s">
        <v>48</v>
      </c>
      <c r="Q155" t="s">
        <v>583</v>
      </c>
      <c r="R155" t="s">
        <v>37</v>
      </c>
      <c r="S155" t="s">
        <v>584</v>
      </c>
      <c r="T155">
        <v>402870</v>
      </c>
      <c r="U155">
        <v>0</v>
      </c>
      <c r="V155" t="s">
        <v>47</v>
      </c>
      <c r="W155" t="str">
        <f>"Awesome Person"</f>
        <v>Awesome Person</v>
      </c>
      <c r="X155" s="1">
        <v>36161</v>
      </c>
      <c r="Y155" t="str">
        <f>"XXXX"</f>
        <v>XXXX</v>
      </c>
      <c r="Z155" t="str">
        <f>"1-5182573470"</f>
        <v>1-5182573470</v>
      </c>
      <c r="AA155" t="str">
        <f>"XXXX"</f>
        <v>XXXX</v>
      </c>
      <c r="AB155" t="str">
        <f>"XXXX"</f>
        <v>XXXX</v>
      </c>
      <c r="AC155" t="str">
        <f>"XXXX"</f>
        <v>XXXX</v>
      </c>
      <c r="AD155" t="str">
        <f>"NY"</f>
        <v>NY</v>
      </c>
      <c r="AE155" t="str">
        <f>"XXXX"</f>
        <v>XXXX</v>
      </c>
      <c r="AF155" t="s">
        <v>51</v>
      </c>
      <c r="AG155" t="str">
        <f>"XXXX"</f>
        <v>XXXX</v>
      </c>
      <c r="AH155" t="str">
        <f>"XXX"</f>
        <v>XXX</v>
      </c>
      <c r="AI155" t="str">
        <f>"Is your firm a NYS Certified WBE?"</f>
        <v>Is your firm a NYS Certified WBE?</v>
      </c>
      <c r="AJ155" t="str">
        <f>"40M"</f>
        <v>40M</v>
      </c>
    </row>
    <row r="156" spans="1:36" x14ac:dyDescent="0.35">
      <c r="A156">
        <v>154</v>
      </c>
      <c r="B156" t="str">
        <f t="shared" si="9"/>
        <v>203620166296150098</v>
      </c>
      <c r="C156">
        <v>1720138377</v>
      </c>
      <c r="D156" t="s">
        <v>37</v>
      </c>
      <c r="E156" t="s">
        <v>38</v>
      </c>
      <c r="F156" t="s">
        <v>39</v>
      </c>
      <c r="G156" t="s">
        <v>40</v>
      </c>
      <c r="H156" t="s">
        <v>41</v>
      </c>
      <c r="I156" t="s">
        <v>42</v>
      </c>
      <c r="J156" t="s">
        <v>43</v>
      </c>
      <c r="K156" t="s">
        <v>483</v>
      </c>
      <c r="L156" t="s">
        <v>585</v>
      </c>
      <c r="M156" t="s">
        <v>586</v>
      </c>
      <c r="N156" t="s">
        <v>47</v>
      </c>
      <c r="O156" t="s">
        <v>48</v>
      </c>
      <c r="P156" t="s">
        <v>48</v>
      </c>
      <c r="Q156" t="s">
        <v>359</v>
      </c>
      <c r="R156" t="s">
        <v>37</v>
      </c>
      <c r="S156" t="s">
        <v>587</v>
      </c>
      <c r="T156">
        <v>445890</v>
      </c>
      <c r="U156">
        <v>0</v>
      </c>
      <c r="V156" t="s">
        <v>48</v>
      </c>
      <c r="W156" t="str">
        <f>"Project Manager"</f>
        <v>Project Manager</v>
      </c>
      <c r="X156" s="1">
        <v>36161</v>
      </c>
      <c r="Y156" t="str">
        <f>"Richards Plumbing &amp; Heating"</f>
        <v>Richards Plumbing &amp; Heating</v>
      </c>
      <c r="Z156" t="str">
        <f>"1-7183839900"</f>
        <v>1-7183839900</v>
      </c>
      <c r="AA156" t="str">
        <f>"231 Kent Street"</f>
        <v>231 Kent Street</v>
      </c>
      <c r="AB156" t="str">
        <f>"231 Kent Street"</f>
        <v>231 Kent Street</v>
      </c>
      <c r="AC156" t="str">
        <f>"Brooklyn"</f>
        <v>Brooklyn</v>
      </c>
      <c r="AD156" t="str">
        <f>"New York"</f>
        <v>New York</v>
      </c>
      <c r="AE156" t="str">
        <f>"11222"</f>
        <v>11222</v>
      </c>
      <c r="AF156" t="s">
        <v>51</v>
      </c>
      <c r="AG156" t="str">
        <f>""</f>
        <v/>
      </c>
      <c r="AH156" t="str">
        <f>"Plumbing / Heating"</f>
        <v>Plumbing / Heating</v>
      </c>
      <c r="AI156" t="str">
        <f>"Has your firm worked on DASNY projects as a prime or sub-contractor?"</f>
        <v>Has your firm worked on DASNY projects as a prime or sub-contractor?</v>
      </c>
      <c r="AJ156" t="str">
        <f>""</f>
        <v/>
      </c>
    </row>
    <row r="157" spans="1:36" x14ac:dyDescent="0.35">
      <c r="A157">
        <v>155</v>
      </c>
      <c r="B157" t="str">
        <f t="shared" si="9"/>
        <v>203620166296150098</v>
      </c>
      <c r="C157">
        <v>1720138377</v>
      </c>
      <c r="D157" t="s">
        <v>37</v>
      </c>
      <c r="E157" t="s">
        <v>38</v>
      </c>
      <c r="F157" t="s">
        <v>39</v>
      </c>
      <c r="G157" t="s">
        <v>40</v>
      </c>
      <c r="H157" t="s">
        <v>41</v>
      </c>
      <c r="I157" t="s">
        <v>42</v>
      </c>
      <c r="J157" t="s">
        <v>43</v>
      </c>
      <c r="K157" t="s">
        <v>270</v>
      </c>
      <c r="L157" t="s">
        <v>588</v>
      </c>
      <c r="M157" t="s">
        <v>589</v>
      </c>
      <c r="N157" t="s">
        <v>47</v>
      </c>
      <c r="O157" t="s">
        <v>48</v>
      </c>
      <c r="P157" t="s">
        <v>48</v>
      </c>
      <c r="Q157" t="s">
        <v>255</v>
      </c>
      <c r="R157" t="s">
        <v>37</v>
      </c>
      <c r="S157" t="s">
        <v>590</v>
      </c>
      <c r="T157">
        <v>300086</v>
      </c>
      <c r="U157">
        <v>0</v>
      </c>
      <c r="V157" t="s">
        <v>48</v>
      </c>
      <c r="W157" t="str">
        <f>"Business Representative"</f>
        <v>Business Representative</v>
      </c>
      <c r="X157" s="1">
        <v>36161</v>
      </c>
      <c r="Y157" t="str">
        <f>"District Council 9"</f>
        <v>District Council 9</v>
      </c>
      <c r="Z157" t="str">
        <f>"1-646 2098075"</f>
        <v>1-646 2098075</v>
      </c>
      <c r="AA157" t="str">
        <f>"45 West 14th Street"</f>
        <v>45 West 14th Street</v>
      </c>
      <c r="AB157" t="str">
        <f>"45 Wst 14th Street"</f>
        <v>45 Wst 14th Street</v>
      </c>
      <c r="AC157" t="str">
        <f>"New York"</f>
        <v>New York</v>
      </c>
      <c r="AD157" t="str">
        <f>"NY"</f>
        <v>NY</v>
      </c>
      <c r="AE157" t="str">
        <f>"10011"</f>
        <v>10011</v>
      </c>
      <c r="AF157" t="s">
        <v>51</v>
      </c>
      <c r="AG157" t="str">
        <f>""</f>
        <v/>
      </c>
      <c r="AH157" t="str">
        <f>"Painting"</f>
        <v>Painting</v>
      </c>
      <c r="AI157" t="str">
        <f>"Is your firm a NYS Certified WBE?|Is your firm a Certified MBE?|Has your firm worked on DASNY projects as a prime or sub-contractor?"</f>
        <v>Is your firm a NYS Certified WBE?|Is your firm a Certified MBE?|Has your firm worked on DASNY projects as a prime or sub-contractor?</v>
      </c>
      <c r="AJ157" t="str">
        <f>""</f>
        <v/>
      </c>
    </row>
    <row r="158" spans="1:36" x14ac:dyDescent="0.35">
      <c r="A158">
        <v>156</v>
      </c>
      <c r="B158" t="str">
        <f t="shared" si="9"/>
        <v>203620166296150098</v>
      </c>
      <c r="C158">
        <v>1720138377</v>
      </c>
      <c r="D158" t="s">
        <v>37</v>
      </c>
      <c r="E158" t="s">
        <v>38</v>
      </c>
      <c r="F158" t="s">
        <v>39</v>
      </c>
      <c r="G158" t="s">
        <v>40</v>
      </c>
      <c r="H158" t="s">
        <v>41</v>
      </c>
      <c r="I158" t="s">
        <v>42</v>
      </c>
      <c r="J158" t="s">
        <v>43</v>
      </c>
      <c r="K158" t="s">
        <v>591</v>
      </c>
      <c r="L158" t="s">
        <v>592</v>
      </c>
      <c r="M158" t="s">
        <v>592</v>
      </c>
      <c r="N158" t="s">
        <v>47</v>
      </c>
      <c r="O158" t="s">
        <v>48</v>
      </c>
      <c r="P158" t="s">
        <v>48</v>
      </c>
      <c r="Q158" t="s">
        <v>346</v>
      </c>
      <c r="R158" t="s">
        <v>37</v>
      </c>
      <c r="S158" t="s">
        <v>593</v>
      </c>
      <c r="T158">
        <v>125945</v>
      </c>
      <c r="U158">
        <v>0</v>
      </c>
      <c r="V158" t="s">
        <v>47</v>
      </c>
      <c r="W158" t="str">
        <f>"C.E.O"</f>
        <v>C.E.O</v>
      </c>
      <c r="X158" s="1">
        <v>36161</v>
      </c>
      <c r="Y158" t="str">
        <f>"Bottom Line Construction"</f>
        <v>Bottom Line Construction</v>
      </c>
      <c r="Z158" t="str">
        <f>"1-212.858.0239"</f>
        <v>1-212.858.0239</v>
      </c>
      <c r="AA158" t="str">
        <f>"306 West 148th Street"</f>
        <v>306 West 148th Street</v>
      </c>
      <c r="AB158" t="str">
        <f>"NYC"</f>
        <v>NYC</v>
      </c>
      <c r="AC158" t="str">
        <f>"NY"</f>
        <v>NY</v>
      </c>
      <c r="AD158" t="str">
        <f>"10039"</f>
        <v>10039</v>
      </c>
      <c r="AE158" t="str">
        <f>"10039"</f>
        <v>10039</v>
      </c>
      <c r="AF158" t="s">
        <v>51</v>
      </c>
      <c r="AG158" t="str">
        <f>"$3,000,000"</f>
        <v>$3,000,000</v>
      </c>
      <c r="AH158" t="str">
        <f>"Construction"</f>
        <v>Construction</v>
      </c>
      <c r="AI158" t="str">
        <f>"Is your firm a NYS Certified WBE?|Is your firm a Certified MBE?"</f>
        <v>Is your firm a NYS Certified WBE?|Is your firm a Certified MBE?</v>
      </c>
      <c r="AJ158" t="str">
        <f>""</f>
        <v/>
      </c>
    </row>
    <row r="159" spans="1:36" x14ac:dyDescent="0.35">
      <c r="A159">
        <v>157</v>
      </c>
      <c r="B159" t="str">
        <f t="shared" si="9"/>
        <v>203620166296150098</v>
      </c>
      <c r="C159">
        <v>1720138377</v>
      </c>
      <c r="D159" t="s">
        <v>37</v>
      </c>
      <c r="E159" t="s">
        <v>38</v>
      </c>
      <c r="F159" t="s">
        <v>39</v>
      </c>
      <c r="G159" t="s">
        <v>40</v>
      </c>
      <c r="H159" t="s">
        <v>41</v>
      </c>
      <c r="I159" t="s">
        <v>42</v>
      </c>
      <c r="J159" t="s">
        <v>43</v>
      </c>
      <c r="K159" t="s">
        <v>594</v>
      </c>
      <c r="L159" t="s">
        <v>595</v>
      </c>
      <c r="M159" t="s">
        <v>596</v>
      </c>
      <c r="N159" t="s">
        <v>47</v>
      </c>
      <c r="O159" t="s">
        <v>48</v>
      </c>
      <c r="P159" t="s">
        <v>48</v>
      </c>
      <c r="Q159" t="s">
        <v>255</v>
      </c>
      <c r="R159" t="s">
        <v>37</v>
      </c>
      <c r="S159" t="s">
        <v>597</v>
      </c>
      <c r="T159">
        <v>505123</v>
      </c>
      <c r="U159">
        <v>0</v>
      </c>
      <c r="V159" t="s">
        <v>48</v>
      </c>
      <c r="W159" t="str">
        <f>"owner"</f>
        <v>owner</v>
      </c>
      <c r="X159" s="1">
        <v>36161</v>
      </c>
      <c r="Y159" t="str">
        <f>"young leaders enrichment program"</f>
        <v>young leaders enrichment program</v>
      </c>
      <c r="Z159" t="str">
        <f>"1-6467509110"</f>
        <v>1-6467509110</v>
      </c>
      <c r="AA159" t="str">
        <f>"82 W 181st St, 1st"</f>
        <v>82 W 181st St, 1st</v>
      </c>
      <c r="AB159" t="str">
        <f>"1st"</f>
        <v>1st</v>
      </c>
      <c r="AC159" t="str">
        <f>"Bronx"</f>
        <v>Bronx</v>
      </c>
      <c r="AD159" t="str">
        <f>"NY"</f>
        <v>NY</v>
      </c>
      <c r="AE159" t="str">
        <f>"10453"</f>
        <v>10453</v>
      </c>
      <c r="AF159" t="s">
        <v>51</v>
      </c>
      <c r="AG159" t="str">
        <f>""</f>
        <v/>
      </c>
      <c r="AH159" t="str">
        <f>"education"</f>
        <v>education</v>
      </c>
      <c r="AI159" t="str">
        <f>"Is your firm a NYS Certified WBE?|Is your firm a Certified MBE?"</f>
        <v>Is your firm a NYS Certified WBE?|Is your firm a Certified MBE?</v>
      </c>
      <c r="AJ159" t="str">
        <f>""</f>
        <v/>
      </c>
    </row>
    <row r="160" spans="1:36" x14ac:dyDescent="0.35">
      <c r="A160">
        <v>158</v>
      </c>
      <c r="B160" t="str">
        <f t="shared" si="9"/>
        <v>203620166296150098</v>
      </c>
      <c r="C160">
        <v>1720138377</v>
      </c>
      <c r="D160" t="s">
        <v>37</v>
      </c>
      <c r="E160" t="s">
        <v>38</v>
      </c>
      <c r="F160" t="s">
        <v>39</v>
      </c>
      <c r="G160" t="s">
        <v>40</v>
      </c>
      <c r="H160" t="s">
        <v>41</v>
      </c>
      <c r="I160" t="s">
        <v>42</v>
      </c>
      <c r="J160" t="s">
        <v>43</v>
      </c>
      <c r="K160" t="s">
        <v>598</v>
      </c>
      <c r="L160" t="s">
        <v>599</v>
      </c>
      <c r="M160" t="s">
        <v>600</v>
      </c>
      <c r="N160" t="s">
        <v>47</v>
      </c>
      <c r="O160" t="s">
        <v>48</v>
      </c>
      <c r="P160" t="s">
        <v>48</v>
      </c>
      <c r="Q160" t="s">
        <v>209</v>
      </c>
      <c r="R160" t="s">
        <v>37</v>
      </c>
      <c r="S160" t="s">
        <v>601</v>
      </c>
      <c r="T160">
        <v>239254</v>
      </c>
      <c r="U160">
        <v>0</v>
      </c>
      <c r="V160" t="s">
        <v>48</v>
      </c>
      <c r="W160" t="str">
        <f>"Bid AND PREQUAL COORDINATOR"</f>
        <v>Bid AND PREQUAL COORDINATOR</v>
      </c>
      <c r="X160" s="1">
        <v>36161</v>
      </c>
      <c r="Y160" t="str">
        <f>"WDF Inc."</f>
        <v>WDF Inc.</v>
      </c>
      <c r="Z160" t="str">
        <f>"1-9147768185"</f>
        <v>1-9147768185</v>
      </c>
      <c r="AA160" t="str">
        <f>"30 North MacQuesten Parkway"</f>
        <v>30 North MacQuesten Parkway</v>
      </c>
      <c r="AB160" t="str">
        <f>"30 north macquesten  parkway"</f>
        <v>30 north macquesten  parkway</v>
      </c>
      <c r="AC160" t="str">
        <f>"Mount Vernon"</f>
        <v>Mount Vernon</v>
      </c>
      <c r="AD160" t="str">
        <f>"ny"</f>
        <v>ny</v>
      </c>
      <c r="AE160" t="str">
        <f>"10550"</f>
        <v>10550</v>
      </c>
      <c r="AF160" t="s">
        <v>51</v>
      </c>
      <c r="AG160" t="str">
        <f>""</f>
        <v/>
      </c>
      <c r="AH160" t="str">
        <f>"GC"</f>
        <v>GC</v>
      </c>
      <c r="AI160" t="str">
        <f>"Is your firm currently a DASNY JOC Contractor?"</f>
        <v>Is your firm currently a DASNY JOC Contractor?</v>
      </c>
      <c r="AJ160" t="str">
        <f>""</f>
        <v/>
      </c>
    </row>
    <row r="161" spans="1:36" x14ac:dyDescent="0.35">
      <c r="A161">
        <v>159</v>
      </c>
      <c r="B161" t="str">
        <f t="shared" si="9"/>
        <v>203620166296150098</v>
      </c>
      <c r="C161">
        <v>1720138377</v>
      </c>
      <c r="D161" t="s">
        <v>37</v>
      </c>
      <c r="E161" t="s">
        <v>38</v>
      </c>
      <c r="F161" t="s">
        <v>39</v>
      </c>
      <c r="G161" t="s">
        <v>40</v>
      </c>
      <c r="H161" t="s">
        <v>41</v>
      </c>
      <c r="I161" t="s">
        <v>42</v>
      </c>
      <c r="J161" t="s">
        <v>43</v>
      </c>
      <c r="K161" t="s">
        <v>602</v>
      </c>
      <c r="L161" t="s">
        <v>603</v>
      </c>
      <c r="M161" t="s">
        <v>604</v>
      </c>
      <c r="N161" t="s">
        <v>47</v>
      </c>
      <c r="O161" t="s">
        <v>48</v>
      </c>
      <c r="P161" t="s">
        <v>48</v>
      </c>
      <c r="Q161" t="s">
        <v>66</v>
      </c>
      <c r="R161" t="s">
        <v>37</v>
      </c>
      <c r="S161" t="s">
        <v>605</v>
      </c>
      <c r="T161">
        <v>774694</v>
      </c>
      <c r="U161">
        <v>0</v>
      </c>
      <c r="V161" t="s">
        <v>47</v>
      </c>
      <c r="W161" t="str">
        <f>"COO"</f>
        <v>COO</v>
      </c>
      <c r="X161" s="1">
        <v>36161</v>
      </c>
      <c r="Y161" t="str">
        <f>"ROM Group Inc."</f>
        <v>ROM Group Inc.</v>
      </c>
      <c r="Z161" t="str">
        <f>"1-2129209600"</f>
        <v>1-2129209600</v>
      </c>
      <c r="AA161" t="str">
        <f>"134 w 113 st"</f>
        <v>134 w 113 st</v>
      </c>
      <c r="AB161" t="str">
        <f>"Suite 1l"</f>
        <v>Suite 1l</v>
      </c>
      <c r="AC161" t="str">
        <f>"New York"</f>
        <v>New York</v>
      </c>
      <c r="AD161" t="str">
        <f>"New York"</f>
        <v>New York</v>
      </c>
      <c r="AE161" t="str">
        <f>"10026"</f>
        <v>10026</v>
      </c>
      <c r="AF161" t="s">
        <v>51</v>
      </c>
      <c r="AG161" t="str">
        <f>""</f>
        <v/>
      </c>
      <c r="AH161" t="str">
        <f>"0900 Finishes"</f>
        <v>0900 Finishes</v>
      </c>
      <c r="AI161" t="str">
        <f>"Is your firm a Certified MBE?|Is your firm a NYS Certified SVDOB?"</f>
        <v>Is your firm a Certified MBE?|Is your firm a NYS Certified SVDOB?</v>
      </c>
      <c r="AJ161" t="str">
        <f>""</f>
        <v/>
      </c>
    </row>
    <row r="162" spans="1:36" x14ac:dyDescent="0.35">
      <c r="A162">
        <v>160</v>
      </c>
      <c r="B162" t="str">
        <f t="shared" si="9"/>
        <v>203620166296150098</v>
      </c>
      <c r="C162">
        <v>1720138377</v>
      </c>
      <c r="D162" t="s">
        <v>37</v>
      </c>
      <c r="E162" t="s">
        <v>38</v>
      </c>
      <c r="F162" t="s">
        <v>39</v>
      </c>
      <c r="G162" t="s">
        <v>40</v>
      </c>
      <c r="H162" t="s">
        <v>41</v>
      </c>
      <c r="I162" t="s">
        <v>42</v>
      </c>
      <c r="J162" t="s">
        <v>43</v>
      </c>
      <c r="K162" t="s">
        <v>569</v>
      </c>
      <c r="L162" t="s">
        <v>570</v>
      </c>
      <c r="M162" t="s">
        <v>571</v>
      </c>
      <c r="N162" t="s">
        <v>47</v>
      </c>
      <c r="O162" t="s">
        <v>48</v>
      </c>
      <c r="P162" t="s">
        <v>48</v>
      </c>
      <c r="Q162" t="s">
        <v>192</v>
      </c>
      <c r="R162" t="s">
        <v>37</v>
      </c>
      <c r="S162" t="s">
        <v>573</v>
      </c>
      <c r="T162">
        <v>702234</v>
      </c>
      <c r="U162">
        <v>0</v>
      </c>
      <c r="V162" t="s">
        <v>48</v>
      </c>
      <c r="W162" t="str">
        <f>"client rep"</f>
        <v>client rep</v>
      </c>
      <c r="X162" s="1">
        <v>36161</v>
      </c>
      <c r="Y162" t="str">
        <f>"ICP"</f>
        <v>ICP</v>
      </c>
      <c r="Z162" t="str">
        <f>"1-17185566813"</f>
        <v>1-17185566813</v>
      </c>
      <c r="AA162" t="str">
        <f>"20 clifton ave"</f>
        <v>20 clifton ave</v>
      </c>
      <c r="AB162" t="str">
        <f>"20 clifton ave"</f>
        <v>20 clifton ave</v>
      </c>
      <c r="AC162" t="str">
        <f>"holmdel"</f>
        <v>holmdel</v>
      </c>
      <c r="AD162" t="str">
        <f>"ny"</f>
        <v>ny</v>
      </c>
      <c r="AE162" t="str">
        <f>"07733"</f>
        <v>07733</v>
      </c>
      <c r="AF162" t="s">
        <v>51</v>
      </c>
      <c r="AG162" t="str">
        <f>"5,000,000"</f>
        <v>5,000,000</v>
      </c>
      <c r="AH162" t="str">
        <f>"electrical"</f>
        <v>electrical</v>
      </c>
      <c r="AI162" t="str">
        <f>"Is your firm a NYS Certified WBE?|Is your firm a Certified MBE?|Is your firm currently a DASNY JOC Contractor?|Has your firm worked on DASNY projects as a prime or sub-contractor?|Has your firm bid on DASNY JOC contract soliciations?"</f>
        <v>Is your firm a NYS Certified WBE?|Is your firm a Certified MBE?|Is your firm currently a DASNY JOC Contractor?|Has your firm worked on DASNY projects as a prime or sub-contractor?|Has your firm bid on DASNY JOC contract soliciations?</v>
      </c>
      <c r="AJ162" t="str">
        <f>"25,000,000"</f>
        <v>25,000,000</v>
      </c>
    </row>
    <row r="163" spans="1:36" x14ac:dyDescent="0.35">
      <c r="A163">
        <v>161</v>
      </c>
      <c r="B163" t="str">
        <f t="shared" si="9"/>
        <v>203620166296150098</v>
      </c>
      <c r="C163">
        <v>1720138377</v>
      </c>
      <c r="D163" t="s">
        <v>37</v>
      </c>
      <c r="E163" t="s">
        <v>38</v>
      </c>
      <c r="F163" t="s">
        <v>39</v>
      </c>
      <c r="G163" t="s">
        <v>40</v>
      </c>
      <c r="H163" t="s">
        <v>41</v>
      </c>
      <c r="I163" t="s">
        <v>42</v>
      </c>
      <c r="J163" t="s">
        <v>43</v>
      </c>
      <c r="K163" t="s">
        <v>606</v>
      </c>
      <c r="L163" t="s">
        <v>566</v>
      </c>
      <c r="M163" t="s">
        <v>607</v>
      </c>
      <c r="N163" t="s">
        <v>47</v>
      </c>
      <c r="O163" t="s">
        <v>48</v>
      </c>
      <c r="P163" t="s">
        <v>48</v>
      </c>
      <c r="Q163" t="s">
        <v>93</v>
      </c>
      <c r="R163" t="s">
        <v>37</v>
      </c>
      <c r="S163" t="s">
        <v>608</v>
      </c>
      <c r="T163">
        <v>743755</v>
      </c>
      <c r="U163">
        <v>0</v>
      </c>
      <c r="V163" t="s">
        <v>48</v>
      </c>
      <c r="W163" t="str">
        <f>"President"</f>
        <v>President</v>
      </c>
      <c r="X163" s="1">
        <v>36161</v>
      </c>
      <c r="Y163" t="str">
        <f>"Thorn Electric Inc,"</f>
        <v>Thorn Electric Inc,</v>
      </c>
      <c r="Z163" t="str">
        <f>"1-7185290813"</f>
        <v>1-7185290813</v>
      </c>
      <c r="AA163" t="str">
        <f>"10701 Rockaway Blvd"</f>
        <v>10701 Rockaway Blvd</v>
      </c>
      <c r="AB163" t="str">
        <f>"1st Floor"</f>
        <v>1st Floor</v>
      </c>
      <c r="AC163" t="str">
        <f>"Ozone Park"</f>
        <v>Ozone Park</v>
      </c>
      <c r="AD163" t="str">
        <f>"New York"</f>
        <v>New York</v>
      </c>
      <c r="AE163" t="str">
        <f>"11417"</f>
        <v>11417</v>
      </c>
      <c r="AF163" t="s">
        <v>51</v>
      </c>
      <c r="AG163" t="str">
        <f>"7 milliob"</f>
        <v>7 milliob</v>
      </c>
      <c r="AH163" t="str">
        <f>"Electrical"</f>
        <v>Electrical</v>
      </c>
      <c r="AI163" t="s">
        <v>609</v>
      </c>
      <c r="AJ163" t="str">
        <f>"10 million "</f>
        <v xml:space="preserve">10 million </v>
      </c>
    </row>
    <row r="164" spans="1:36" x14ac:dyDescent="0.35">
      <c r="A164">
        <v>162</v>
      </c>
      <c r="B164" t="str">
        <f t="shared" si="9"/>
        <v>203620166296150098</v>
      </c>
      <c r="C164">
        <v>1720138377</v>
      </c>
      <c r="D164" t="s">
        <v>37</v>
      </c>
      <c r="E164" t="s">
        <v>38</v>
      </c>
      <c r="F164" t="s">
        <v>39</v>
      </c>
      <c r="G164" t="s">
        <v>40</v>
      </c>
      <c r="H164" t="s">
        <v>41</v>
      </c>
      <c r="I164" t="s">
        <v>42</v>
      </c>
      <c r="J164" t="s">
        <v>43</v>
      </c>
      <c r="K164" t="s">
        <v>117</v>
      </c>
      <c r="L164" t="s">
        <v>118</v>
      </c>
      <c r="M164" t="s">
        <v>119</v>
      </c>
      <c r="N164" t="s">
        <v>47</v>
      </c>
      <c r="O164" t="s">
        <v>48</v>
      </c>
      <c r="P164" t="s">
        <v>48</v>
      </c>
      <c r="Q164" t="s">
        <v>329</v>
      </c>
      <c r="R164" t="s">
        <v>37</v>
      </c>
      <c r="S164" t="s">
        <v>120</v>
      </c>
      <c r="T164">
        <v>575789</v>
      </c>
      <c r="U164">
        <v>0</v>
      </c>
      <c r="V164" t="s">
        <v>47</v>
      </c>
      <c r="W164" t="str">
        <f>"PM"</f>
        <v>PM</v>
      </c>
      <c r="X164" s="1">
        <v>36161</v>
      </c>
      <c r="Y164" t="str">
        <f>"CUBE CONSTRUCTION SERVICES LLC"</f>
        <v>CUBE CONSTRUCTION SERVICES LLC</v>
      </c>
      <c r="Z164" t="str">
        <f>"1-2014638831"</f>
        <v>1-2014638831</v>
      </c>
      <c r="AA164" t="str">
        <f>"Cube Construction Services LLC, 17 Peppermint Hill Rd"</f>
        <v>Cube Construction Services LLC, 17 Peppermint Hill Rd</v>
      </c>
      <c r="AB164" t="str">
        <f>"17 Peppermint Hill Rd"</f>
        <v>17 Peppermint Hill Rd</v>
      </c>
      <c r="AC164" t="str">
        <f>"NORTH BRUNSWICK"</f>
        <v>NORTH BRUNSWICK</v>
      </c>
      <c r="AD164" t="str">
        <f>"NJ"</f>
        <v>NJ</v>
      </c>
      <c r="AE164" t="str">
        <f>"08902"</f>
        <v>08902</v>
      </c>
      <c r="AF164" t="s">
        <v>51</v>
      </c>
      <c r="AG164" t="str">
        <f>"12,000,000"</f>
        <v>12,000,000</v>
      </c>
      <c r="AH164" t="str">
        <f>"GC"</f>
        <v>GC</v>
      </c>
      <c r="AI164" t="str">
        <f>"Is your firm a Certified MBE?|Is your firm currently a DASNY JOC Contractor?|Has your firm worked on DASNY projects as a prime or sub-contractor?|Has your firm bid on DASNY JOC contract soliciations?"</f>
        <v>Is your firm a Certified MBE?|Is your firm currently a DASNY JOC Contractor?|Has your firm worked on DASNY projects as a prime or sub-contractor?|Has your firm bid on DASNY JOC contract soliciations?</v>
      </c>
      <c r="AJ164" t="str">
        <f>"24,000,000"</f>
        <v>24,000,000</v>
      </c>
    </row>
    <row r="165" spans="1:36" x14ac:dyDescent="0.35">
      <c r="A165">
        <v>163</v>
      </c>
      <c r="B165" t="str">
        <f t="shared" si="9"/>
        <v>203620166296150098</v>
      </c>
      <c r="C165">
        <v>1720138377</v>
      </c>
      <c r="D165" t="s">
        <v>37</v>
      </c>
      <c r="E165" t="s">
        <v>38</v>
      </c>
      <c r="F165" t="s">
        <v>39</v>
      </c>
      <c r="G165" t="s">
        <v>40</v>
      </c>
      <c r="H165" t="s">
        <v>41</v>
      </c>
      <c r="I165" t="s">
        <v>42</v>
      </c>
      <c r="J165" t="s">
        <v>43</v>
      </c>
      <c r="K165" t="s">
        <v>68</v>
      </c>
      <c r="L165" t="s">
        <v>69</v>
      </c>
      <c r="M165" t="s">
        <v>70</v>
      </c>
      <c r="N165" t="s">
        <v>47</v>
      </c>
      <c r="O165" t="s">
        <v>48</v>
      </c>
      <c r="P165" t="s">
        <v>48</v>
      </c>
      <c r="Q165" t="s">
        <v>610</v>
      </c>
      <c r="R165" t="s">
        <v>37</v>
      </c>
      <c r="S165" t="s">
        <v>71</v>
      </c>
      <c r="T165">
        <v>612307</v>
      </c>
      <c r="U165">
        <v>0</v>
      </c>
      <c r="V165" t="s">
        <v>48</v>
      </c>
      <c r="W165" t="str">
        <f>"Project Engineer"</f>
        <v>Project Engineer</v>
      </c>
      <c r="X165" s="1">
        <v>36161</v>
      </c>
      <c r="Y165" t="str">
        <f>"Kanta Electric"</f>
        <v>Kanta Electric</v>
      </c>
      <c r="Z165" t="str">
        <f>"1-7183979527"</f>
        <v>1-7183979527</v>
      </c>
      <c r="AA165" t="str">
        <f>"34-21"</f>
        <v>34-21</v>
      </c>
      <c r="AB165" t="str">
        <f>"56th Street"</f>
        <v>56th Street</v>
      </c>
      <c r="AC165" t="str">
        <f>"Woodside"</f>
        <v>Woodside</v>
      </c>
      <c r="AD165" t="str">
        <f>"NY"</f>
        <v>NY</v>
      </c>
      <c r="AE165" t="str">
        <f>"11377"</f>
        <v>11377</v>
      </c>
      <c r="AF165" t="s">
        <v>51</v>
      </c>
      <c r="AG165" t="str">
        <f>"$ 35 Million"</f>
        <v>$ 35 Million</v>
      </c>
      <c r="AH165" t="str">
        <f>"Electrical"</f>
        <v>Electrical</v>
      </c>
      <c r="AI165" t="str">
        <f>"Is your firm a Certified MBE?|Trade contract you are interested in bidding (use semi-colon to seperate each listing)|Has your firm worked on DASNY projects as a prime or sub-contractor?"</f>
        <v>Is your firm a Certified MBE?|Trade contract you are interested in bidding (use semi-colon to seperate each listing)|Has your firm worked on DASNY projects as a prime or sub-contractor?</v>
      </c>
      <c r="AJ165" t="str">
        <f>"$ 70 Million"</f>
        <v>$ 70 Million</v>
      </c>
    </row>
    <row r="166" spans="1:36" x14ac:dyDescent="0.35">
      <c r="A166">
        <v>164</v>
      </c>
      <c r="B166" t="str">
        <f t="shared" si="9"/>
        <v>203620166296150098</v>
      </c>
      <c r="C166">
        <v>1720138377</v>
      </c>
      <c r="D166" t="s">
        <v>37</v>
      </c>
      <c r="E166" t="s">
        <v>38</v>
      </c>
      <c r="F166" t="s">
        <v>39</v>
      </c>
      <c r="G166" t="s">
        <v>40</v>
      </c>
      <c r="H166" t="s">
        <v>41</v>
      </c>
      <c r="I166" t="s">
        <v>42</v>
      </c>
      <c r="J166" t="s">
        <v>43</v>
      </c>
      <c r="K166" t="s">
        <v>611</v>
      </c>
      <c r="L166" t="s">
        <v>612</v>
      </c>
      <c r="M166" t="s">
        <v>613</v>
      </c>
      <c r="N166" t="s">
        <v>47</v>
      </c>
      <c r="O166" t="s">
        <v>48</v>
      </c>
      <c r="P166" t="s">
        <v>48</v>
      </c>
      <c r="Q166" t="s">
        <v>56</v>
      </c>
      <c r="R166" t="s">
        <v>37</v>
      </c>
      <c r="S166" t="s">
        <v>614</v>
      </c>
      <c r="T166">
        <v>582760</v>
      </c>
      <c r="U166">
        <v>0</v>
      </c>
      <c r="V166" t="s">
        <v>47</v>
      </c>
      <c r="W166" t="str">
        <f>"Account Manager"</f>
        <v>Account Manager</v>
      </c>
      <c r="X166" s="1">
        <v>36161</v>
      </c>
      <c r="Y166" t="str">
        <f>"Gordian"</f>
        <v>Gordian</v>
      </c>
      <c r="Z166" t="str">
        <f>"1-9148604875"</f>
        <v>1-9148604875</v>
      </c>
      <c r="AA166" t="str">
        <f>"Heritage Hills"</f>
        <v>Heritage Hills</v>
      </c>
      <c r="AB166" t="str">
        <f>"Unit 175A"</f>
        <v>Unit 175A</v>
      </c>
      <c r="AC166" t="str">
        <f>"Somers"</f>
        <v>Somers</v>
      </c>
      <c r="AD166" t="str">
        <f>"NY"</f>
        <v>NY</v>
      </c>
      <c r="AE166" t="str">
        <f>"10589"</f>
        <v>10589</v>
      </c>
      <c r="AF166" t="s">
        <v>51</v>
      </c>
      <c r="AG166" t="str">
        <f>"None"</f>
        <v>None</v>
      </c>
      <c r="AH166" t="str">
        <f>"None"</f>
        <v>None</v>
      </c>
      <c r="AI166" t="s">
        <v>154</v>
      </c>
      <c r="AJ166" t="str">
        <f>"None"</f>
        <v>None</v>
      </c>
    </row>
    <row r="167" spans="1:36" x14ac:dyDescent="0.35">
      <c r="A167" t="s">
        <v>615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AttendancePreliminaryDetailedRe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Manjila, Boby</dc:creator>
  <cp:lastModifiedBy>Burtch, Jennifer</cp:lastModifiedBy>
  <dcterms:created xsi:type="dcterms:W3CDTF">2021-08-25T18:50:03Z</dcterms:created>
  <dcterms:modified xsi:type="dcterms:W3CDTF">2021-08-26T18:15:32Z</dcterms:modified>
</cp:coreProperties>
</file>