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asny-my.sharepoint.com/personal/jburtch_dasny_org/Documents/Desktop/"/>
    </mc:Choice>
  </mc:AlternateContent>
  <xr:revisionPtr revIDLastSave="2" documentId="8_{5C67CFC4-FB9C-4AB3-BE0B-C88F5D0C7BBF}" xr6:coauthVersionLast="45" xr6:coauthVersionMax="45" xr10:uidLastSave="{13A2DDDC-0F8B-4CC6-BB76-20DE25FD0937}"/>
  <bookViews>
    <workbookView xWindow="-110" yWindow="-110" windowWidth="19420" windowHeight="10420" xr2:uid="{00000000-000D-0000-FFFF-FFFF00000000}"/>
  </bookViews>
  <sheets>
    <sheet name="AttendancePreliminaryDetailed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W3" i="1"/>
  <c r="Y3" i="1"/>
  <c r="Z3" i="1"/>
  <c r="AA3" i="1"/>
  <c r="AB3" i="1"/>
  <c r="AC3" i="1"/>
  <c r="AD3" i="1"/>
  <c r="AE3" i="1"/>
  <c r="AG3" i="1"/>
  <c r="AH3" i="1"/>
  <c r="AI3" i="1"/>
  <c r="AJ3" i="1"/>
  <c r="AK3" i="1"/>
  <c r="B4" i="1"/>
  <c r="W4" i="1"/>
  <c r="Y4" i="1"/>
  <c r="Z4" i="1"/>
  <c r="AA4" i="1"/>
  <c r="AB4" i="1"/>
  <c r="AC4" i="1"/>
  <c r="AD4" i="1"/>
  <c r="AE4" i="1"/>
  <c r="AG4" i="1"/>
  <c r="AH4" i="1"/>
  <c r="AI4" i="1"/>
  <c r="AJ4" i="1"/>
  <c r="AK4" i="1"/>
  <c r="B5" i="1"/>
  <c r="W5" i="1"/>
  <c r="Y5" i="1"/>
  <c r="Z5" i="1"/>
  <c r="AA5" i="1"/>
  <c r="AB5" i="1"/>
  <c r="AC5" i="1"/>
  <c r="AD5" i="1"/>
  <c r="AE5" i="1"/>
  <c r="AG5" i="1"/>
  <c r="AH5" i="1"/>
  <c r="AI5" i="1"/>
  <c r="AJ5" i="1"/>
  <c r="AK5" i="1"/>
  <c r="B6" i="1"/>
  <c r="W6" i="1"/>
  <c r="Y6" i="1"/>
  <c r="Z6" i="1"/>
  <c r="AA6" i="1"/>
  <c r="AB6" i="1"/>
  <c r="AC6" i="1"/>
  <c r="AD6" i="1"/>
  <c r="AE6" i="1"/>
  <c r="AG6" i="1"/>
  <c r="AH6" i="1"/>
  <c r="AI6" i="1"/>
  <c r="AJ6" i="1"/>
  <c r="AK6" i="1"/>
  <c r="B7" i="1"/>
  <c r="W7" i="1"/>
  <c r="Y7" i="1"/>
  <c r="Z7" i="1"/>
  <c r="AA7" i="1"/>
  <c r="AB7" i="1"/>
  <c r="AC7" i="1"/>
  <c r="AD7" i="1"/>
  <c r="AE7" i="1"/>
  <c r="AG7" i="1"/>
  <c r="AH7" i="1"/>
  <c r="AI7" i="1"/>
  <c r="AJ7" i="1"/>
  <c r="AK7" i="1"/>
  <c r="B8" i="1"/>
  <c r="W8" i="1"/>
  <c r="Y8" i="1"/>
  <c r="Z8" i="1"/>
  <c r="AA8" i="1"/>
  <c r="AB8" i="1"/>
  <c r="AC8" i="1"/>
  <c r="AD8" i="1"/>
  <c r="AE8" i="1"/>
  <c r="AG8" i="1"/>
  <c r="AH8" i="1"/>
  <c r="AI8" i="1"/>
  <c r="AJ8" i="1"/>
  <c r="AK8" i="1"/>
  <c r="B9" i="1"/>
  <c r="W9" i="1"/>
  <c r="Y9" i="1"/>
  <c r="Z9" i="1"/>
  <c r="AA9" i="1"/>
  <c r="AB9" i="1"/>
  <c r="AC9" i="1"/>
  <c r="AD9" i="1"/>
  <c r="AE9" i="1"/>
  <c r="AG9" i="1"/>
  <c r="AH9" i="1"/>
  <c r="AI9" i="1"/>
  <c r="AJ9" i="1"/>
  <c r="AK9" i="1"/>
  <c r="B10" i="1"/>
  <c r="W10" i="1"/>
  <c r="Y10" i="1"/>
  <c r="Z10" i="1"/>
  <c r="AA10" i="1"/>
  <c r="AB10" i="1"/>
  <c r="AC10" i="1"/>
  <c r="AD10" i="1"/>
  <c r="AE10" i="1"/>
  <c r="AG10" i="1"/>
  <c r="AH10" i="1"/>
  <c r="AI10" i="1"/>
  <c r="AJ10" i="1"/>
  <c r="AK10" i="1"/>
  <c r="B11" i="1"/>
  <c r="W11" i="1"/>
  <c r="Y11" i="1"/>
  <c r="Z11" i="1"/>
  <c r="AA11" i="1"/>
  <c r="AB11" i="1"/>
  <c r="AC11" i="1"/>
  <c r="AD11" i="1"/>
  <c r="AE11" i="1"/>
  <c r="AG11" i="1"/>
  <c r="AH11" i="1"/>
  <c r="AI11" i="1"/>
  <c r="AJ11" i="1"/>
  <c r="AK11" i="1"/>
  <c r="B12" i="1"/>
  <c r="W12" i="1"/>
  <c r="Y12" i="1"/>
  <c r="Z12" i="1"/>
  <c r="AA12" i="1"/>
  <c r="AB12" i="1"/>
  <c r="AC12" i="1"/>
  <c r="AD12" i="1"/>
  <c r="AE12" i="1"/>
  <c r="AG12" i="1"/>
  <c r="AH12" i="1"/>
  <c r="AI12" i="1"/>
  <c r="AJ12" i="1"/>
  <c r="AK12" i="1"/>
  <c r="B13" i="1"/>
  <c r="W13" i="1"/>
  <c r="Y13" i="1"/>
  <c r="Z13" i="1"/>
  <c r="AA13" i="1"/>
  <c r="AB13" i="1"/>
  <c r="AC13" i="1"/>
  <c r="AD13" i="1"/>
  <c r="AE13" i="1"/>
  <c r="AG13" i="1"/>
  <c r="AH13" i="1"/>
  <c r="AI13" i="1"/>
  <c r="AJ13" i="1"/>
  <c r="AK13" i="1"/>
  <c r="B14" i="1"/>
  <c r="W14" i="1"/>
  <c r="Y14" i="1"/>
  <c r="Z14" i="1"/>
  <c r="AA14" i="1"/>
  <c r="AB14" i="1"/>
  <c r="AC14" i="1"/>
  <c r="AD14" i="1"/>
  <c r="AE14" i="1"/>
  <c r="AG14" i="1"/>
  <c r="AH14" i="1"/>
  <c r="AI14" i="1"/>
  <c r="AJ14" i="1"/>
  <c r="AK14" i="1"/>
  <c r="B15" i="1"/>
  <c r="W15" i="1"/>
  <c r="Y15" i="1"/>
  <c r="Z15" i="1"/>
  <c r="AA15" i="1"/>
  <c r="AB15" i="1"/>
  <c r="AC15" i="1"/>
  <c r="AD15" i="1"/>
  <c r="AE15" i="1"/>
  <c r="AG15" i="1"/>
  <c r="AH15" i="1"/>
  <c r="AI15" i="1"/>
  <c r="AJ15" i="1"/>
  <c r="AK15" i="1"/>
  <c r="B16" i="1"/>
  <c r="W16" i="1"/>
  <c r="Y16" i="1"/>
  <c r="Z16" i="1"/>
  <c r="AA16" i="1"/>
  <c r="AB16" i="1"/>
  <c r="AC16" i="1"/>
  <c r="AD16" i="1"/>
  <c r="AE16" i="1"/>
  <c r="AG16" i="1"/>
  <c r="AH16" i="1"/>
  <c r="AI16" i="1"/>
  <c r="AJ16" i="1"/>
  <c r="AK16" i="1"/>
  <c r="B17" i="1"/>
  <c r="W17" i="1"/>
  <c r="Y17" i="1"/>
  <c r="Z17" i="1"/>
  <c r="AA17" i="1"/>
  <c r="AB17" i="1"/>
  <c r="AC17" i="1"/>
  <c r="AD17" i="1"/>
  <c r="AE17" i="1"/>
  <c r="AG17" i="1"/>
  <c r="AH17" i="1"/>
  <c r="AI17" i="1"/>
  <c r="AJ17" i="1"/>
  <c r="AK17" i="1"/>
  <c r="B18" i="1"/>
  <c r="W18" i="1"/>
  <c r="Y18" i="1"/>
  <c r="Z18" i="1"/>
  <c r="AA18" i="1"/>
  <c r="AB18" i="1"/>
  <c r="AC18" i="1"/>
  <c r="AD18" i="1"/>
  <c r="AE18" i="1"/>
  <c r="AG18" i="1"/>
  <c r="AH18" i="1"/>
  <c r="AI18" i="1"/>
  <c r="AJ18" i="1"/>
  <c r="AK18" i="1"/>
  <c r="B19" i="1"/>
  <c r="W19" i="1"/>
  <c r="Y19" i="1"/>
  <c r="Z19" i="1"/>
  <c r="AA19" i="1"/>
  <c r="AB19" i="1"/>
  <c r="AC19" i="1"/>
  <c r="AD19" i="1"/>
  <c r="AE19" i="1"/>
  <c r="AG19" i="1"/>
  <c r="AH19" i="1"/>
  <c r="AI19" i="1"/>
  <c r="AJ19" i="1"/>
  <c r="AK19" i="1"/>
  <c r="B20" i="1"/>
  <c r="W20" i="1"/>
  <c r="Y20" i="1"/>
  <c r="Z20" i="1"/>
  <c r="AA20" i="1"/>
  <c r="AB20" i="1"/>
  <c r="AC20" i="1"/>
  <c r="AD20" i="1"/>
  <c r="AE20" i="1"/>
  <c r="AG20" i="1"/>
  <c r="AH20" i="1"/>
  <c r="AI20" i="1"/>
  <c r="AJ20" i="1"/>
  <c r="AK20" i="1"/>
  <c r="B21" i="1"/>
  <c r="W21" i="1"/>
  <c r="Y21" i="1"/>
  <c r="Z21" i="1"/>
  <c r="AA21" i="1"/>
  <c r="AB21" i="1"/>
  <c r="AC21" i="1"/>
  <c r="AD21" i="1"/>
  <c r="AE21" i="1"/>
  <c r="AG21" i="1"/>
  <c r="AH21" i="1"/>
  <c r="AI21" i="1"/>
  <c r="AJ21" i="1"/>
  <c r="AK21" i="1"/>
  <c r="B22" i="1"/>
  <c r="W22" i="1"/>
  <c r="Y22" i="1"/>
  <c r="Z22" i="1"/>
  <c r="AA22" i="1"/>
  <c r="AB22" i="1"/>
  <c r="AC22" i="1"/>
  <c r="AD22" i="1"/>
  <c r="AE22" i="1"/>
  <c r="AG22" i="1"/>
  <c r="AH22" i="1"/>
  <c r="AI22" i="1"/>
  <c r="AJ22" i="1"/>
  <c r="AK22" i="1"/>
  <c r="B23" i="1"/>
  <c r="W23" i="1"/>
  <c r="Y23" i="1"/>
  <c r="Z23" i="1"/>
  <c r="AA23" i="1"/>
  <c r="AB23" i="1"/>
  <c r="AC23" i="1"/>
  <c r="AD23" i="1"/>
  <c r="AE23" i="1"/>
  <c r="AG23" i="1"/>
  <c r="AH23" i="1"/>
  <c r="AI23" i="1"/>
  <c r="AJ23" i="1"/>
  <c r="AK23" i="1"/>
  <c r="B24" i="1"/>
  <c r="W24" i="1"/>
  <c r="Y24" i="1"/>
  <c r="Z24" i="1"/>
  <c r="AA24" i="1"/>
  <c r="AB24" i="1"/>
  <c r="AC24" i="1"/>
  <c r="AD24" i="1"/>
  <c r="AE24" i="1"/>
  <c r="AG24" i="1"/>
  <c r="AH24" i="1"/>
  <c r="AI24" i="1"/>
  <c r="AJ24" i="1"/>
  <c r="AK24" i="1"/>
  <c r="B25" i="1"/>
  <c r="W25" i="1"/>
  <c r="Y25" i="1"/>
  <c r="Z25" i="1"/>
  <c r="AA25" i="1"/>
  <c r="AB25" i="1"/>
  <c r="AC25" i="1"/>
  <c r="AD25" i="1"/>
  <c r="AE25" i="1"/>
  <c r="AG25" i="1"/>
  <c r="AH25" i="1"/>
  <c r="AI25" i="1"/>
  <c r="AJ25" i="1"/>
  <c r="AK25" i="1"/>
  <c r="B26" i="1"/>
  <c r="W26" i="1"/>
  <c r="Y26" i="1"/>
  <c r="Z26" i="1"/>
  <c r="AA26" i="1"/>
  <c r="AB26" i="1"/>
  <c r="AC26" i="1"/>
  <c r="AD26" i="1"/>
  <c r="AE26" i="1"/>
  <c r="AG26" i="1"/>
  <c r="AH26" i="1"/>
  <c r="AI26" i="1"/>
  <c r="AJ26" i="1"/>
  <c r="AK26" i="1"/>
  <c r="B27" i="1"/>
  <c r="W27" i="1"/>
  <c r="Y27" i="1"/>
  <c r="Z27" i="1"/>
  <c r="AA27" i="1"/>
  <c r="AB27" i="1"/>
  <c r="AC27" i="1"/>
  <c r="AD27" i="1"/>
  <c r="AE27" i="1"/>
  <c r="AG27" i="1"/>
  <c r="AH27" i="1"/>
  <c r="AI27" i="1"/>
  <c r="AJ27" i="1"/>
  <c r="AK27" i="1"/>
  <c r="B28" i="1"/>
  <c r="W28" i="1"/>
  <c r="Y28" i="1"/>
  <c r="Z28" i="1"/>
  <c r="AA28" i="1"/>
  <c r="AB28" i="1"/>
  <c r="AC28" i="1"/>
  <c r="AD28" i="1"/>
  <c r="AE28" i="1"/>
  <c r="AG28" i="1"/>
  <c r="AH28" i="1"/>
  <c r="AI28" i="1"/>
  <c r="AJ28" i="1"/>
  <c r="AK28" i="1"/>
  <c r="B29" i="1"/>
  <c r="W29" i="1"/>
  <c r="Y29" i="1"/>
  <c r="Z29" i="1"/>
  <c r="AA29" i="1"/>
  <c r="AB29" i="1"/>
  <c r="AC29" i="1"/>
  <c r="AD29" i="1"/>
  <c r="AE29" i="1"/>
  <c r="AG29" i="1"/>
  <c r="AH29" i="1"/>
  <c r="AI29" i="1"/>
  <c r="AJ29" i="1"/>
  <c r="AK29" i="1"/>
  <c r="B30" i="1"/>
  <c r="W30" i="1"/>
  <c r="Y30" i="1"/>
  <c r="Z30" i="1"/>
  <c r="AA30" i="1"/>
  <c r="AB30" i="1"/>
  <c r="AC30" i="1"/>
  <c r="AD30" i="1"/>
  <c r="AE30" i="1"/>
  <c r="AG30" i="1"/>
  <c r="AH30" i="1"/>
  <c r="AI30" i="1"/>
  <c r="AJ30" i="1"/>
  <c r="AK30" i="1"/>
  <c r="B31" i="1"/>
  <c r="W31" i="1"/>
  <c r="Y31" i="1"/>
  <c r="Z31" i="1"/>
  <c r="AA31" i="1"/>
  <c r="AB31" i="1"/>
  <c r="AC31" i="1"/>
  <c r="AD31" i="1"/>
  <c r="AE31" i="1"/>
  <c r="AG31" i="1"/>
  <c r="AH31" i="1"/>
  <c r="AI31" i="1"/>
  <c r="AJ31" i="1"/>
  <c r="AK31" i="1"/>
  <c r="B32" i="1"/>
  <c r="W32" i="1"/>
  <c r="Y32" i="1"/>
  <c r="Z32" i="1"/>
  <c r="AA32" i="1"/>
  <c r="AB32" i="1"/>
  <c r="AC32" i="1"/>
  <c r="AD32" i="1"/>
  <c r="AE32" i="1"/>
  <c r="AG32" i="1"/>
  <c r="AH32" i="1"/>
  <c r="AI32" i="1"/>
  <c r="AJ32" i="1"/>
  <c r="AK32" i="1"/>
  <c r="B33" i="1"/>
  <c r="W33" i="1"/>
  <c r="Y33" i="1"/>
  <c r="Z33" i="1"/>
  <c r="AA33" i="1"/>
  <c r="AB33" i="1"/>
  <c r="AC33" i="1"/>
  <c r="AD33" i="1"/>
  <c r="AE33" i="1"/>
  <c r="AG33" i="1"/>
  <c r="AH33" i="1"/>
  <c r="AI33" i="1"/>
  <c r="AJ33" i="1"/>
  <c r="AK33" i="1"/>
  <c r="B34" i="1"/>
  <c r="W34" i="1"/>
  <c r="Y34" i="1"/>
  <c r="Z34" i="1"/>
  <c r="AA34" i="1"/>
  <c r="AB34" i="1"/>
  <c r="AC34" i="1"/>
  <c r="AD34" i="1"/>
  <c r="AE34" i="1"/>
  <c r="AG34" i="1"/>
  <c r="AH34" i="1"/>
  <c r="AI34" i="1"/>
  <c r="AJ34" i="1"/>
  <c r="AK34" i="1"/>
  <c r="B35" i="1"/>
  <c r="W35" i="1"/>
  <c r="Y35" i="1"/>
  <c r="Z35" i="1"/>
  <c r="AA35" i="1"/>
  <c r="AB35" i="1"/>
  <c r="AC35" i="1"/>
  <c r="AD35" i="1"/>
  <c r="AE35" i="1"/>
  <c r="AG35" i="1"/>
  <c r="AH35" i="1"/>
  <c r="AI35" i="1"/>
  <c r="AJ35" i="1"/>
  <c r="AK35" i="1"/>
  <c r="B36" i="1"/>
  <c r="W36" i="1"/>
  <c r="Y36" i="1"/>
  <c r="Z36" i="1"/>
  <c r="AA36" i="1"/>
  <c r="AB36" i="1"/>
  <c r="AC36" i="1"/>
  <c r="AD36" i="1"/>
  <c r="AE36" i="1"/>
  <c r="AG36" i="1"/>
  <c r="AH36" i="1"/>
  <c r="AI36" i="1"/>
  <c r="AJ36" i="1"/>
  <c r="AK36" i="1"/>
  <c r="B37" i="1"/>
  <c r="W37" i="1"/>
  <c r="Y37" i="1"/>
  <c r="Z37" i="1"/>
  <c r="AA37" i="1"/>
  <c r="AB37" i="1"/>
  <c r="AC37" i="1"/>
  <c r="AD37" i="1"/>
  <c r="AE37" i="1"/>
  <c r="AG37" i="1"/>
  <c r="AH37" i="1"/>
  <c r="AI37" i="1"/>
  <c r="AJ37" i="1"/>
  <c r="AK37" i="1"/>
  <c r="B38" i="1"/>
  <c r="W38" i="1"/>
  <c r="Y38" i="1"/>
  <c r="Z38" i="1"/>
  <c r="AA38" i="1"/>
  <c r="AB38" i="1"/>
  <c r="AC38" i="1"/>
  <c r="AD38" i="1"/>
  <c r="AE38" i="1"/>
  <c r="AG38" i="1"/>
  <c r="AH38" i="1"/>
  <c r="AI38" i="1"/>
  <c r="AJ38" i="1"/>
  <c r="AK38" i="1"/>
  <c r="B39" i="1"/>
  <c r="W39" i="1"/>
  <c r="Y39" i="1"/>
  <c r="Z39" i="1"/>
  <c r="AA39" i="1"/>
  <c r="AB39" i="1"/>
  <c r="AC39" i="1"/>
  <c r="AD39" i="1"/>
  <c r="AE39" i="1"/>
  <c r="AG39" i="1"/>
  <c r="AH39" i="1"/>
  <c r="AI39" i="1"/>
  <c r="AJ39" i="1"/>
  <c r="AK39" i="1"/>
  <c r="B40" i="1"/>
  <c r="W40" i="1"/>
  <c r="Y40" i="1"/>
  <c r="Z40" i="1"/>
  <c r="AA40" i="1"/>
  <c r="AB40" i="1"/>
  <c r="AC40" i="1"/>
  <c r="AD40" i="1"/>
  <c r="AE40" i="1"/>
  <c r="AG40" i="1"/>
  <c r="AH40" i="1"/>
  <c r="AI40" i="1"/>
  <c r="AJ40" i="1"/>
  <c r="AK40" i="1"/>
  <c r="B41" i="1"/>
  <c r="W41" i="1"/>
  <c r="Y41" i="1"/>
  <c r="Z41" i="1"/>
  <c r="AA41" i="1"/>
  <c r="AB41" i="1"/>
  <c r="AC41" i="1"/>
  <c r="AD41" i="1"/>
  <c r="AE41" i="1"/>
  <c r="AG41" i="1"/>
  <c r="AH41" i="1"/>
  <c r="AI41" i="1"/>
  <c r="AJ41" i="1"/>
  <c r="AK41" i="1"/>
  <c r="B42" i="1"/>
  <c r="W42" i="1"/>
  <c r="Y42" i="1"/>
  <c r="Z42" i="1"/>
  <c r="AA42" i="1"/>
  <c r="AB42" i="1"/>
  <c r="AC42" i="1"/>
  <c r="AD42" i="1"/>
  <c r="AE42" i="1"/>
  <c r="AG42" i="1"/>
  <c r="AH42" i="1"/>
  <c r="AI42" i="1"/>
  <c r="AJ42" i="1"/>
  <c r="AK42" i="1"/>
  <c r="B43" i="1"/>
  <c r="W43" i="1"/>
  <c r="Y43" i="1"/>
  <c r="Z43" i="1"/>
  <c r="AA43" i="1"/>
  <c r="AB43" i="1"/>
  <c r="AC43" i="1"/>
  <c r="AD43" i="1"/>
  <c r="AE43" i="1"/>
  <c r="AG43" i="1"/>
  <c r="AH43" i="1"/>
  <c r="AI43" i="1"/>
  <c r="AJ43" i="1"/>
  <c r="AK43" i="1"/>
  <c r="B44" i="1"/>
  <c r="W44" i="1"/>
  <c r="Y44" i="1"/>
  <c r="Z44" i="1"/>
  <c r="AA44" i="1"/>
  <c r="AB44" i="1"/>
  <c r="AC44" i="1"/>
  <c r="AD44" i="1"/>
  <c r="AE44" i="1"/>
  <c r="AG44" i="1"/>
  <c r="AH44" i="1"/>
  <c r="AI44" i="1"/>
  <c r="AJ44" i="1"/>
  <c r="AK44" i="1"/>
  <c r="B45" i="1"/>
  <c r="W45" i="1"/>
  <c r="Y45" i="1"/>
  <c r="Z45" i="1"/>
  <c r="AA45" i="1"/>
  <c r="AB45" i="1"/>
  <c r="AC45" i="1"/>
  <c r="AD45" i="1"/>
  <c r="AE45" i="1"/>
  <c r="AG45" i="1"/>
  <c r="AH45" i="1"/>
  <c r="AI45" i="1"/>
  <c r="AJ45" i="1"/>
  <c r="AK45" i="1"/>
  <c r="B46" i="1"/>
  <c r="W46" i="1"/>
  <c r="Y46" i="1"/>
  <c r="Z46" i="1"/>
  <c r="AA46" i="1"/>
  <c r="AB46" i="1"/>
  <c r="AC46" i="1"/>
  <c r="AD46" i="1"/>
  <c r="AE46" i="1"/>
  <c r="AG46" i="1"/>
  <c r="AH46" i="1"/>
  <c r="AI46" i="1"/>
  <c r="AJ46" i="1"/>
  <c r="AK46" i="1"/>
  <c r="B47" i="1"/>
  <c r="W47" i="1"/>
  <c r="Y47" i="1"/>
  <c r="Z47" i="1"/>
  <c r="AA47" i="1"/>
  <c r="AB47" i="1"/>
  <c r="AC47" i="1"/>
  <c r="AD47" i="1"/>
  <c r="AE47" i="1"/>
  <c r="AG47" i="1"/>
  <c r="AH47" i="1"/>
  <c r="AI47" i="1"/>
  <c r="AJ47" i="1"/>
  <c r="AK47" i="1"/>
  <c r="B48" i="1"/>
  <c r="W48" i="1"/>
  <c r="Y48" i="1"/>
  <c r="Z48" i="1"/>
  <c r="AA48" i="1"/>
  <c r="AB48" i="1"/>
  <c r="AC48" i="1"/>
  <c r="AD48" i="1"/>
  <c r="AE48" i="1"/>
  <c r="AG48" i="1"/>
  <c r="AH48" i="1"/>
  <c r="AI48" i="1"/>
  <c r="AJ48" i="1"/>
  <c r="AK48" i="1"/>
  <c r="B49" i="1"/>
  <c r="W49" i="1"/>
  <c r="Y49" i="1"/>
  <c r="Z49" i="1"/>
  <c r="AA49" i="1"/>
  <c r="AB49" i="1"/>
  <c r="AC49" i="1"/>
  <c r="AD49" i="1"/>
  <c r="AE49" i="1"/>
  <c r="AG49" i="1"/>
  <c r="AH49" i="1"/>
  <c r="AI49" i="1"/>
  <c r="AJ49" i="1"/>
  <c r="AK49" i="1"/>
  <c r="B50" i="1"/>
  <c r="W50" i="1"/>
  <c r="Y50" i="1"/>
  <c r="Z50" i="1"/>
  <c r="AA50" i="1"/>
  <c r="AB50" i="1"/>
  <c r="AC50" i="1"/>
  <c r="AD50" i="1"/>
  <c r="AE50" i="1"/>
  <c r="AG50" i="1"/>
  <c r="AH50" i="1"/>
  <c r="AI50" i="1"/>
  <c r="AJ50" i="1"/>
  <c r="AK50" i="1"/>
  <c r="B51" i="1"/>
  <c r="W51" i="1"/>
  <c r="Y51" i="1"/>
  <c r="Z51" i="1"/>
  <c r="AA51" i="1"/>
  <c r="AB51" i="1"/>
  <c r="AC51" i="1"/>
  <c r="AD51" i="1"/>
  <c r="AE51" i="1"/>
  <c r="AG51" i="1"/>
  <c r="AH51" i="1"/>
  <c r="AI51" i="1"/>
  <c r="AJ51" i="1"/>
  <c r="AK51" i="1"/>
  <c r="B52" i="1"/>
  <c r="W52" i="1"/>
  <c r="Y52" i="1"/>
  <c r="Z52" i="1"/>
  <c r="AA52" i="1"/>
  <c r="AB52" i="1"/>
  <c r="AC52" i="1"/>
  <c r="AD52" i="1"/>
  <c r="AE52" i="1"/>
  <c r="AG52" i="1"/>
  <c r="AH52" i="1"/>
  <c r="AI52" i="1"/>
  <c r="AJ52" i="1"/>
  <c r="AK52" i="1"/>
  <c r="B53" i="1"/>
  <c r="W53" i="1"/>
  <c r="Y53" i="1"/>
  <c r="Z53" i="1"/>
  <c r="AA53" i="1"/>
  <c r="AB53" i="1"/>
  <c r="AC53" i="1"/>
  <c r="AD53" i="1"/>
  <c r="AE53" i="1"/>
  <c r="AG53" i="1"/>
  <c r="AH53" i="1"/>
  <c r="AI53" i="1"/>
  <c r="AJ53" i="1"/>
  <c r="AK53" i="1"/>
  <c r="B54" i="1"/>
  <c r="W54" i="1"/>
  <c r="Y54" i="1"/>
  <c r="Z54" i="1"/>
  <c r="AA54" i="1"/>
  <c r="AB54" i="1"/>
  <c r="AC54" i="1"/>
  <c r="AD54" i="1"/>
  <c r="AE54" i="1"/>
  <c r="AG54" i="1"/>
  <c r="AH54" i="1"/>
  <c r="AI54" i="1"/>
  <c r="AJ54" i="1"/>
  <c r="AK54" i="1"/>
  <c r="B55" i="1"/>
  <c r="W55" i="1"/>
  <c r="Y55" i="1"/>
  <c r="Z55" i="1"/>
  <c r="AA55" i="1"/>
  <c r="AB55" i="1"/>
  <c r="AC55" i="1"/>
  <c r="AD55" i="1"/>
  <c r="AE55" i="1"/>
  <c r="AG55" i="1"/>
  <c r="AH55" i="1"/>
  <c r="AI55" i="1"/>
  <c r="AJ55" i="1"/>
  <c r="AK55" i="1"/>
  <c r="B56" i="1"/>
  <c r="W56" i="1"/>
  <c r="Y56" i="1"/>
  <c r="Z56" i="1"/>
  <c r="AA56" i="1"/>
  <c r="AB56" i="1"/>
  <c r="AC56" i="1"/>
  <c r="AD56" i="1"/>
  <c r="AE56" i="1"/>
  <c r="AG56" i="1"/>
  <c r="AH56" i="1"/>
  <c r="AI56" i="1"/>
  <c r="AJ56" i="1"/>
  <c r="AK56" i="1"/>
  <c r="B57" i="1"/>
  <c r="W57" i="1"/>
  <c r="Y57" i="1"/>
  <c r="Z57" i="1"/>
  <c r="AA57" i="1"/>
  <c r="AB57" i="1"/>
  <c r="AC57" i="1"/>
  <c r="AD57" i="1"/>
  <c r="AE57" i="1"/>
  <c r="AG57" i="1"/>
  <c r="AH57" i="1"/>
  <c r="AI57" i="1"/>
  <c r="AJ57" i="1"/>
  <c r="AK57" i="1"/>
  <c r="B58" i="1"/>
  <c r="W58" i="1"/>
  <c r="Y58" i="1"/>
  <c r="Z58" i="1"/>
  <c r="AA58" i="1"/>
  <c r="AB58" i="1"/>
  <c r="AC58" i="1"/>
  <c r="AD58" i="1"/>
  <c r="AE58" i="1"/>
  <c r="AG58" i="1"/>
  <c r="AH58" i="1"/>
  <c r="AI58" i="1"/>
  <c r="AJ58" i="1"/>
  <c r="AK58" i="1"/>
  <c r="B59" i="1"/>
  <c r="W59" i="1"/>
  <c r="Y59" i="1"/>
  <c r="Z59" i="1"/>
  <c r="AA59" i="1"/>
  <c r="AB59" i="1"/>
  <c r="AC59" i="1"/>
  <c r="AD59" i="1"/>
  <c r="AE59" i="1"/>
  <c r="AG59" i="1"/>
  <c r="AH59" i="1"/>
  <c r="AI59" i="1"/>
  <c r="AJ59" i="1"/>
  <c r="AK59" i="1"/>
  <c r="B60" i="1"/>
  <c r="W60" i="1"/>
  <c r="Y60" i="1"/>
  <c r="Z60" i="1"/>
  <c r="AA60" i="1"/>
  <c r="AB60" i="1"/>
  <c r="AC60" i="1"/>
  <c r="AD60" i="1"/>
  <c r="AE60" i="1"/>
  <c r="AG60" i="1"/>
  <c r="AH60" i="1"/>
  <c r="AI60" i="1"/>
  <c r="AJ60" i="1"/>
  <c r="AK60" i="1"/>
  <c r="B61" i="1"/>
  <c r="W61" i="1"/>
  <c r="Y61" i="1"/>
  <c r="Z61" i="1"/>
  <c r="AA61" i="1"/>
  <c r="AB61" i="1"/>
  <c r="AC61" i="1"/>
  <c r="AD61" i="1"/>
  <c r="AE61" i="1"/>
  <c r="AG61" i="1"/>
  <c r="AH61" i="1"/>
  <c r="AI61" i="1"/>
  <c r="AJ61" i="1"/>
  <c r="AK61" i="1"/>
  <c r="B62" i="1"/>
  <c r="W62" i="1"/>
  <c r="Y62" i="1"/>
  <c r="Z62" i="1"/>
  <c r="AA62" i="1"/>
  <c r="AB62" i="1"/>
  <c r="AC62" i="1"/>
  <c r="AD62" i="1"/>
  <c r="AE62" i="1"/>
  <c r="AG62" i="1"/>
  <c r="AH62" i="1"/>
  <c r="AI62" i="1"/>
  <c r="AJ62" i="1"/>
  <c r="AK62" i="1"/>
  <c r="B63" i="1"/>
  <c r="W63" i="1"/>
  <c r="Y63" i="1"/>
  <c r="Z63" i="1"/>
  <c r="AA63" i="1"/>
  <c r="AB63" i="1"/>
  <c r="AC63" i="1"/>
  <c r="AD63" i="1"/>
  <c r="AE63" i="1"/>
  <c r="AG63" i="1"/>
  <c r="AH63" i="1"/>
  <c r="AI63" i="1"/>
  <c r="AJ63" i="1"/>
  <c r="AK63" i="1"/>
  <c r="B64" i="1"/>
  <c r="W64" i="1"/>
  <c r="Y64" i="1"/>
  <c r="Z64" i="1"/>
  <c r="AA64" i="1"/>
  <c r="AB64" i="1"/>
  <c r="AC64" i="1"/>
  <c r="AD64" i="1"/>
  <c r="AE64" i="1"/>
  <c r="AH64" i="1"/>
  <c r="AI64" i="1"/>
  <c r="AJ64" i="1"/>
  <c r="AK64" i="1"/>
  <c r="B65" i="1"/>
  <c r="W65" i="1"/>
  <c r="Y65" i="1"/>
  <c r="Z65" i="1"/>
  <c r="AA65" i="1"/>
  <c r="AB65" i="1"/>
  <c r="AC65" i="1"/>
  <c r="AD65" i="1"/>
  <c r="AE65" i="1"/>
  <c r="AG65" i="1"/>
  <c r="AH65" i="1"/>
  <c r="AI65" i="1"/>
  <c r="AJ65" i="1"/>
  <c r="AK65" i="1"/>
  <c r="B66" i="1"/>
  <c r="W66" i="1"/>
  <c r="Y66" i="1"/>
  <c r="Z66" i="1"/>
  <c r="AA66" i="1"/>
  <c r="AB66" i="1"/>
  <c r="AC66" i="1"/>
  <c r="AD66" i="1"/>
  <c r="AE66" i="1"/>
  <c r="AG66" i="1"/>
  <c r="AH66" i="1"/>
  <c r="AI66" i="1"/>
  <c r="AJ66" i="1"/>
  <c r="AK66" i="1"/>
  <c r="B67" i="1"/>
  <c r="W67" i="1"/>
  <c r="Y67" i="1"/>
  <c r="Z67" i="1"/>
  <c r="AA67" i="1"/>
  <c r="AB67" i="1"/>
  <c r="AC67" i="1"/>
  <c r="AD67" i="1"/>
  <c r="AE67" i="1"/>
  <c r="AG67" i="1"/>
  <c r="AH67" i="1"/>
  <c r="AI67" i="1"/>
  <c r="AJ67" i="1"/>
  <c r="AK67" i="1"/>
  <c r="B68" i="1"/>
  <c r="W68" i="1"/>
  <c r="Y68" i="1"/>
  <c r="Z68" i="1"/>
  <c r="AA68" i="1"/>
  <c r="AB68" i="1"/>
  <c r="AC68" i="1"/>
  <c r="AD68" i="1"/>
  <c r="AE68" i="1"/>
  <c r="AG68" i="1"/>
  <c r="AH68" i="1"/>
  <c r="AI68" i="1"/>
  <c r="AJ68" i="1"/>
  <c r="AK68" i="1"/>
  <c r="B69" i="1"/>
  <c r="W69" i="1"/>
  <c r="Y69" i="1"/>
  <c r="Z69" i="1"/>
  <c r="AA69" i="1"/>
  <c r="AB69" i="1"/>
  <c r="AC69" i="1"/>
  <c r="AD69" i="1"/>
  <c r="AE69" i="1"/>
  <c r="AG69" i="1"/>
  <c r="AH69" i="1"/>
  <c r="AI69" i="1"/>
  <c r="AJ69" i="1"/>
  <c r="AK69" i="1"/>
  <c r="B70" i="1"/>
  <c r="W70" i="1"/>
  <c r="Y70" i="1"/>
  <c r="Z70" i="1"/>
  <c r="AA70" i="1"/>
  <c r="AB70" i="1"/>
  <c r="AC70" i="1"/>
  <c r="AD70" i="1"/>
  <c r="AE70" i="1"/>
  <c r="AG70" i="1"/>
  <c r="AH70" i="1"/>
  <c r="AI70" i="1"/>
  <c r="AJ70" i="1"/>
  <c r="AK70" i="1"/>
  <c r="B71" i="1"/>
  <c r="W71" i="1"/>
  <c r="Y71" i="1"/>
  <c r="Z71" i="1"/>
  <c r="AA71" i="1"/>
  <c r="AB71" i="1"/>
  <c r="AC71" i="1"/>
  <c r="AD71" i="1"/>
  <c r="AE71" i="1"/>
  <c r="AG71" i="1"/>
  <c r="AH71" i="1"/>
  <c r="AI71" i="1"/>
  <c r="AJ71" i="1"/>
  <c r="AK71" i="1"/>
  <c r="B72" i="1"/>
  <c r="W72" i="1"/>
  <c r="Y72" i="1"/>
  <c r="Z72" i="1"/>
  <c r="AA72" i="1"/>
  <c r="AB72" i="1"/>
  <c r="AC72" i="1"/>
  <c r="AD72" i="1"/>
  <c r="AE72" i="1"/>
  <c r="AG72" i="1"/>
  <c r="AH72" i="1"/>
  <c r="AI72" i="1"/>
  <c r="AJ72" i="1"/>
  <c r="AK72" i="1"/>
  <c r="B73" i="1"/>
  <c r="W73" i="1"/>
  <c r="Y73" i="1"/>
  <c r="Z73" i="1"/>
  <c r="AA73" i="1"/>
  <c r="AB73" i="1"/>
  <c r="AC73" i="1"/>
  <c r="AD73" i="1"/>
  <c r="AE73" i="1"/>
  <c r="AG73" i="1"/>
  <c r="AH73" i="1"/>
  <c r="AI73" i="1"/>
  <c r="AJ73" i="1"/>
  <c r="AK73" i="1"/>
  <c r="B74" i="1"/>
  <c r="W74" i="1"/>
  <c r="Y74" i="1"/>
  <c r="Z74" i="1"/>
  <c r="AA74" i="1"/>
  <c r="AB74" i="1"/>
  <c r="AC74" i="1"/>
  <c r="AD74" i="1"/>
  <c r="AE74" i="1"/>
  <c r="AG74" i="1"/>
  <c r="AH74" i="1"/>
  <c r="AI74" i="1"/>
  <c r="AJ74" i="1"/>
  <c r="AK74" i="1"/>
  <c r="B75" i="1"/>
  <c r="W75" i="1"/>
  <c r="Y75" i="1"/>
  <c r="Z75" i="1"/>
  <c r="AA75" i="1"/>
  <c r="AB75" i="1"/>
  <c r="AC75" i="1"/>
  <c r="AD75" i="1"/>
  <c r="AE75" i="1"/>
  <c r="AG75" i="1"/>
  <c r="AH75" i="1"/>
  <c r="AI75" i="1"/>
  <c r="AJ75" i="1"/>
  <c r="AK75" i="1"/>
  <c r="B76" i="1"/>
  <c r="W76" i="1"/>
  <c r="Y76" i="1"/>
  <c r="Z76" i="1"/>
  <c r="AA76" i="1"/>
  <c r="AB76" i="1"/>
  <c r="AC76" i="1"/>
  <c r="AD76" i="1"/>
  <c r="AE76" i="1"/>
  <c r="AG76" i="1"/>
  <c r="AH76" i="1"/>
  <c r="AI76" i="1"/>
  <c r="AJ76" i="1"/>
  <c r="AK76" i="1"/>
  <c r="B77" i="1"/>
  <c r="W77" i="1"/>
  <c r="Y77" i="1"/>
  <c r="Z77" i="1"/>
  <c r="AA77" i="1"/>
  <c r="AB77" i="1"/>
  <c r="AC77" i="1"/>
  <c r="AD77" i="1"/>
  <c r="AE77" i="1"/>
  <c r="AG77" i="1"/>
  <c r="AH77" i="1"/>
  <c r="AI77" i="1"/>
  <c r="AJ77" i="1"/>
  <c r="AK77" i="1"/>
  <c r="B78" i="1"/>
  <c r="W78" i="1"/>
  <c r="Y78" i="1"/>
  <c r="Z78" i="1"/>
  <c r="AA78" i="1"/>
  <c r="AB78" i="1"/>
  <c r="AC78" i="1"/>
  <c r="AD78" i="1"/>
  <c r="AE78" i="1"/>
  <c r="AG78" i="1"/>
  <c r="AH78" i="1"/>
  <c r="AI78" i="1"/>
  <c r="AJ78" i="1"/>
  <c r="AK78" i="1"/>
  <c r="B79" i="1"/>
  <c r="W79" i="1"/>
  <c r="Y79" i="1"/>
  <c r="Z79" i="1"/>
  <c r="AA79" i="1"/>
  <c r="AB79" i="1"/>
  <c r="AC79" i="1"/>
  <c r="AD79" i="1"/>
  <c r="AE79" i="1"/>
  <c r="AG79" i="1"/>
  <c r="AH79" i="1"/>
  <c r="AI79" i="1"/>
  <c r="AJ79" i="1"/>
  <c r="AK79" i="1"/>
  <c r="B80" i="1"/>
  <c r="W80" i="1"/>
  <c r="Y80" i="1"/>
  <c r="Z80" i="1"/>
  <c r="AA80" i="1"/>
  <c r="AB80" i="1"/>
  <c r="AC80" i="1"/>
  <c r="AD80" i="1"/>
  <c r="AE80" i="1"/>
  <c r="AG80" i="1"/>
  <c r="AH80" i="1"/>
  <c r="AI80" i="1"/>
  <c r="AJ80" i="1"/>
  <c r="AK80" i="1"/>
  <c r="B81" i="1"/>
  <c r="W81" i="1"/>
  <c r="Y81" i="1"/>
  <c r="Z81" i="1"/>
  <c r="AA81" i="1"/>
  <c r="AB81" i="1"/>
  <c r="AC81" i="1"/>
  <c r="AD81" i="1"/>
  <c r="AE81" i="1"/>
  <c r="AG81" i="1"/>
  <c r="AH81" i="1"/>
  <c r="AI81" i="1"/>
  <c r="AJ81" i="1"/>
  <c r="AK81" i="1"/>
  <c r="B82" i="1"/>
  <c r="W82" i="1"/>
  <c r="Y82" i="1"/>
  <c r="Z82" i="1"/>
  <c r="AA82" i="1"/>
  <c r="AB82" i="1"/>
  <c r="AC82" i="1"/>
  <c r="AD82" i="1"/>
  <c r="AE82" i="1"/>
  <c r="AG82" i="1"/>
  <c r="AH82" i="1"/>
  <c r="AI82" i="1"/>
  <c r="AJ82" i="1"/>
  <c r="AK82" i="1"/>
  <c r="B83" i="1"/>
  <c r="W83" i="1"/>
  <c r="Y83" i="1"/>
  <c r="Z83" i="1"/>
  <c r="AA83" i="1"/>
  <c r="AB83" i="1"/>
  <c r="AC83" i="1"/>
  <c r="AD83" i="1"/>
  <c r="AE83" i="1"/>
  <c r="AG83" i="1"/>
  <c r="AH83" i="1"/>
  <c r="AI83" i="1"/>
  <c r="AJ83" i="1"/>
  <c r="AK83" i="1"/>
  <c r="B84" i="1"/>
  <c r="W84" i="1"/>
  <c r="Y84" i="1"/>
  <c r="Z84" i="1"/>
  <c r="AA84" i="1"/>
  <c r="AB84" i="1"/>
  <c r="AC84" i="1"/>
  <c r="AD84" i="1"/>
  <c r="AE84" i="1"/>
  <c r="AG84" i="1"/>
  <c r="AH84" i="1"/>
  <c r="AI84" i="1"/>
  <c r="AJ84" i="1"/>
  <c r="AK84" i="1"/>
  <c r="B85" i="1"/>
  <c r="W85" i="1"/>
  <c r="Y85" i="1"/>
  <c r="Z85" i="1"/>
  <c r="AA85" i="1"/>
  <c r="AB85" i="1"/>
  <c r="AC85" i="1"/>
  <c r="AD85" i="1"/>
  <c r="AE85" i="1"/>
  <c r="AG85" i="1"/>
  <c r="AH85" i="1"/>
  <c r="AI85" i="1"/>
  <c r="AJ85" i="1"/>
  <c r="AK85" i="1"/>
  <c r="B86" i="1"/>
  <c r="W86" i="1"/>
  <c r="Y86" i="1"/>
  <c r="Z86" i="1"/>
  <c r="AA86" i="1"/>
  <c r="AB86" i="1"/>
  <c r="AC86" i="1"/>
  <c r="AD86" i="1"/>
  <c r="AE86" i="1"/>
  <c r="AG86" i="1"/>
  <c r="AH86" i="1"/>
  <c r="AI86" i="1"/>
  <c r="AJ86" i="1"/>
  <c r="AK86" i="1"/>
  <c r="B87" i="1"/>
  <c r="W87" i="1"/>
  <c r="Y87" i="1"/>
  <c r="Z87" i="1"/>
  <c r="AA87" i="1"/>
  <c r="AB87" i="1"/>
  <c r="AC87" i="1"/>
  <c r="AD87" i="1"/>
  <c r="AE87" i="1"/>
  <c r="AG87" i="1"/>
  <c r="AH87" i="1"/>
  <c r="AI87" i="1"/>
  <c r="AJ87" i="1"/>
  <c r="AK87" i="1"/>
  <c r="B88" i="1"/>
  <c r="W88" i="1"/>
  <c r="Y88" i="1"/>
  <c r="Z88" i="1"/>
  <c r="AA88" i="1"/>
  <c r="AB88" i="1"/>
  <c r="AC88" i="1"/>
  <c r="AD88" i="1"/>
  <c r="AE88" i="1"/>
  <c r="AG88" i="1"/>
  <c r="AH88" i="1"/>
  <c r="AI88" i="1"/>
  <c r="AJ88" i="1"/>
  <c r="AK88" i="1"/>
  <c r="B89" i="1"/>
  <c r="W89" i="1"/>
  <c r="Y89" i="1"/>
  <c r="Z89" i="1"/>
  <c r="AA89" i="1"/>
  <c r="AB89" i="1"/>
  <c r="AC89" i="1"/>
  <c r="AD89" i="1"/>
  <c r="AE89" i="1"/>
  <c r="AG89" i="1"/>
  <c r="AH89" i="1"/>
  <c r="AI89" i="1"/>
  <c r="AJ89" i="1"/>
  <c r="AK89" i="1"/>
  <c r="B90" i="1"/>
  <c r="W90" i="1"/>
  <c r="Y90" i="1"/>
  <c r="Z90" i="1"/>
  <c r="AA90" i="1"/>
  <c r="AB90" i="1"/>
  <c r="AC90" i="1"/>
  <c r="AD90" i="1"/>
  <c r="AE90" i="1"/>
  <c r="AG90" i="1"/>
  <c r="AH90" i="1"/>
  <c r="AI90" i="1"/>
  <c r="AJ90" i="1"/>
  <c r="AK90" i="1"/>
  <c r="B91" i="1"/>
  <c r="W91" i="1"/>
  <c r="Y91" i="1"/>
  <c r="Z91" i="1"/>
  <c r="AA91" i="1"/>
  <c r="AB91" i="1"/>
  <c r="AC91" i="1"/>
  <c r="AD91" i="1"/>
  <c r="AE91" i="1"/>
  <c r="AG91" i="1"/>
  <c r="AH91" i="1"/>
  <c r="AI91" i="1"/>
  <c r="AJ91" i="1"/>
  <c r="AK91" i="1"/>
  <c r="B92" i="1"/>
  <c r="W92" i="1"/>
  <c r="Y92" i="1"/>
  <c r="Z92" i="1"/>
  <c r="AA92" i="1"/>
  <c r="AB92" i="1"/>
  <c r="AC92" i="1"/>
  <c r="AD92" i="1"/>
  <c r="AE92" i="1"/>
  <c r="AG92" i="1"/>
  <c r="AH92" i="1"/>
  <c r="AI92" i="1"/>
  <c r="AJ92" i="1"/>
  <c r="AK92" i="1"/>
  <c r="B93" i="1"/>
  <c r="W93" i="1"/>
  <c r="Y93" i="1"/>
  <c r="Z93" i="1"/>
  <c r="AA93" i="1"/>
  <c r="AB93" i="1"/>
  <c r="AC93" i="1"/>
  <c r="AD93" i="1"/>
  <c r="AE93" i="1"/>
  <c r="AG93" i="1"/>
  <c r="AH93" i="1"/>
  <c r="AI93" i="1"/>
  <c r="AJ93" i="1"/>
  <c r="AK93" i="1"/>
  <c r="B94" i="1"/>
  <c r="W94" i="1"/>
  <c r="Y94" i="1"/>
  <c r="Z94" i="1"/>
  <c r="AA94" i="1"/>
  <c r="AB94" i="1"/>
  <c r="AC94" i="1"/>
  <c r="AD94" i="1"/>
  <c r="AE94" i="1"/>
  <c r="AG94" i="1"/>
  <c r="AH94" i="1"/>
  <c r="AI94" i="1"/>
  <c r="AJ94" i="1"/>
  <c r="AK94" i="1"/>
  <c r="B95" i="1"/>
  <c r="W95" i="1"/>
  <c r="Y95" i="1"/>
  <c r="Z95" i="1"/>
  <c r="AA95" i="1"/>
  <c r="AB95" i="1"/>
  <c r="AC95" i="1"/>
  <c r="AD95" i="1"/>
  <c r="AE95" i="1"/>
  <c r="AG95" i="1"/>
  <c r="AH95" i="1"/>
  <c r="AI95" i="1"/>
  <c r="AJ95" i="1"/>
  <c r="AK95" i="1"/>
  <c r="B96" i="1"/>
  <c r="W96" i="1"/>
  <c r="Y96" i="1"/>
  <c r="Z96" i="1"/>
  <c r="AA96" i="1"/>
  <c r="AB96" i="1"/>
  <c r="AC96" i="1"/>
  <c r="AD96" i="1"/>
  <c r="AE96" i="1"/>
  <c r="AG96" i="1"/>
  <c r="AH96" i="1"/>
  <c r="AI96" i="1"/>
  <c r="AJ96" i="1"/>
  <c r="AK96" i="1"/>
  <c r="B97" i="1"/>
  <c r="W97" i="1"/>
  <c r="Y97" i="1"/>
  <c r="Z97" i="1"/>
  <c r="AA97" i="1"/>
  <c r="AB97" i="1"/>
  <c r="AC97" i="1"/>
  <c r="AD97" i="1"/>
  <c r="AE97" i="1"/>
  <c r="AG97" i="1"/>
  <c r="AH97" i="1"/>
  <c r="AI97" i="1"/>
  <c r="AJ97" i="1"/>
  <c r="AK97" i="1"/>
  <c r="B98" i="1"/>
  <c r="W98" i="1"/>
  <c r="Y98" i="1"/>
  <c r="Z98" i="1"/>
  <c r="AA98" i="1"/>
  <c r="AB98" i="1"/>
  <c r="AC98" i="1"/>
  <c r="AD98" i="1"/>
  <c r="AE98" i="1"/>
  <c r="AG98" i="1"/>
  <c r="AH98" i="1"/>
  <c r="AI98" i="1"/>
  <c r="AJ98" i="1"/>
  <c r="AK98" i="1"/>
</calcChain>
</file>

<file path=xl/sharedStrings.xml><?xml version="1.0" encoding="utf-8"?>
<sst xmlns="http://schemas.openxmlformats.org/spreadsheetml/2006/main" count="1665" uniqueCount="406">
  <si>
    <t>Caution: This is a preliminary report. It provides immediate access to event data before the final report becomes available. When the final report is available, event data appears only in the final report, not in the preliminary report.</t>
  </si>
  <si>
    <t xml:space="preserve">Attendance Count  </t>
  </si>
  <si>
    <t xml:space="preserve">Event ID  </t>
  </si>
  <si>
    <t xml:space="preserve">Event Key  </t>
  </si>
  <si>
    <t xml:space="preserve">Program Name  </t>
  </si>
  <si>
    <t xml:space="preserve">Event Name  </t>
  </si>
  <si>
    <t xml:space="preserve">Event Start Date  </t>
  </si>
  <si>
    <t xml:space="preserve">Event Start Time  </t>
  </si>
  <si>
    <t xml:space="preserve">Event End Time  </t>
  </si>
  <si>
    <t xml:space="preserve">Event/Recording Duration  </t>
  </si>
  <si>
    <t xml:space="preserve">User Type  </t>
  </si>
  <si>
    <t xml:space="preserve">FirstName  </t>
  </si>
  <si>
    <t xml:space="preserve">LastName  </t>
  </si>
  <si>
    <t xml:space="preserve">Email  </t>
  </si>
  <si>
    <t xml:space="preserve">Invited  </t>
  </si>
  <si>
    <t xml:space="preserve">Registered  </t>
  </si>
  <si>
    <t xml:space="preserve">Attended  </t>
  </si>
  <si>
    <t xml:space="preserve">Join Time  </t>
  </si>
  <si>
    <t xml:space="preserve">Lead Source ID  </t>
  </si>
  <si>
    <t xml:space="preserve">Registration Date/Time  </t>
  </si>
  <si>
    <t xml:space="preserve">Registration ID  </t>
  </si>
  <si>
    <t xml:space="preserve">Registration Score  </t>
  </si>
  <si>
    <t xml:space="preserve">Okay to send email  </t>
  </si>
  <si>
    <t xml:space="preserve">Title  </t>
  </si>
  <si>
    <t xml:space="preserve">Number of Employees  </t>
  </si>
  <si>
    <t xml:space="preserve">Company  </t>
  </si>
  <si>
    <t xml:space="preserve">Phone  </t>
  </si>
  <si>
    <t xml:space="preserve">Address 1  </t>
  </si>
  <si>
    <t xml:space="preserve">Address 2  </t>
  </si>
  <si>
    <t xml:space="preserve">City  </t>
  </si>
  <si>
    <t xml:space="preserve">State/Province  </t>
  </si>
  <si>
    <t xml:space="preserve">Postal/Zip Code  </t>
  </si>
  <si>
    <t xml:space="preserve">Country/Region  </t>
  </si>
  <si>
    <t xml:space="preserve">What contract(s) are you interested in bidding? If multiple, please use a semi-colon to separate each listing  </t>
  </si>
  <si>
    <t xml:space="preserve">Is your firm a NYS-certified WBE?  </t>
  </si>
  <si>
    <t xml:space="preserve">Is your firm a NYS-certified MBE?  </t>
  </si>
  <si>
    <t xml:space="preserve">Is your firm a NYS-certified SVDOB?  </t>
  </si>
  <si>
    <t xml:space="preserve">Is your firm Currently a DASNY JOC Contractor?  </t>
  </si>
  <si>
    <t xml:space="preserve">  </t>
  </si>
  <si>
    <t>DASNY JOCS Pre-Bid Meeting</t>
  </si>
  <si>
    <t>March 22, 2021 New York Time</t>
  </si>
  <si>
    <t>10:00 am New York Time</t>
  </si>
  <si>
    <t>12:00 pm New York Time</t>
  </si>
  <si>
    <t>120.0 mins</t>
  </si>
  <si>
    <t>Panelist</t>
  </si>
  <si>
    <t>wayne</t>
  </si>
  <si>
    <t>benjamin</t>
  </si>
  <si>
    <t>wbenjami@dasny.org</t>
  </si>
  <si>
    <t>Yes</t>
  </si>
  <si>
    <t>No</t>
  </si>
  <si>
    <t>9:46 am New York Time</t>
  </si>
  <si>
    <t>Rene</t>
  </si>
  <si>
    <t>Pedroso</t>
  </si>
  <si>
    <t>r.pedroso@gordian.com</t>
  </si>
  <si>
    <t>Michael</t>
  </si>
  <si>
    <t>Clay</t>
  </si>
  <si>
    <t>mclay@dasny.org</t>
  </si>
  <si>
    <t>9:55 am New York Time</t>
  </si>
  <si>
    <t>sheldon</t>
  </si>
  <si>
    <t>johnson</t>
  </si>
  <si>
    <t>sjohnson@dasny.org</t>
  </si>
  <si>
    <t>9:58 am New York Time</t>
  </si>
  <si>
    <t>10:04 am New York Time</t>
  </si>
  <si>
    <t>Attendee</t>
  </si>
  <si>
    <t>Safiy</t>
  </si>
  <si>
    <t>Rahman</t>
  </si>
  <si>
    <t>sarahman@romcm.com</t>
  </si>
  <si>
    <t>10:26 am New York Time</t>
  </si>
  <si>
    <t>March 15, 2021 4:48 pm New York Time</t>
  </si>
  <si>
    <t>elisa</t>
  </si>
  <si>
    <t>lalinde</t>
  </si>
  <si>
    <t>americaneagleelectric2013@gmail.com</t>
  </si>
  <si>
    <t>10:03 am New York Time</t>
  </si>
  <si>
    <t>March 2, 2021 9:40 am New York Time</t>
  </si>
  <si>
    <t>Manju</t>
  </si>
  <si>
    <t>Kumar</t>
  </si>
  <si>
    <t>manju111kumar@gmail.com</t>
  </si>
  <si>
    <t>March 15, 2021 12:53 pm New York Time</t>
  </si>
  <si>
    <t>10:09 am New York Time</t>
  </si>
  <si>
    <t>Reynante</t>
  </si>
  <si>
    <t>Clavel</t>
  </si>
  <si>
    <t>rey.clavel@aecom.com</t>
  </si>
  <si>
    <t>10:05 am New York Time</t>
  </si>
  <si>
    <t>March 3, 2021 8:06 am New York Time</t>
  </si>
  <si>
    <t>Louis</t>
  </si>
  <si>
    <t>Russelli</t>
  </si>
  <si>
    <t>louis@proconnyc.com</t>
  </si>
  <si>
    <t>9:59 am New York Time</t>
  </si>
  <si>
    <t>March 2, 2021 9:20 am New York Time</t>
  </si>
  <si>
    <t>Novica</t>
  </si>
  <si>
    <t>Prekpala</t>
  </si>
  <si>
    <t>novica@blaisebonds.com</t>
  </si>
  <si>
    <t>March 22, 2021 10:00 am New York Time</t>
  </si>
  <si>
    <t>Devendra</t>
  </si>
  <si>
    <t>Narasenakuppe</t>
  </si>
  <si>
    <t>drlservices8@gmail.com</t>
  </si>
  <si>
    <t>9:54 am New York Time</t>
  </si>
  <si>
    <t>March 9, 2021 11:01 am New York Time</t>
  </si>
  <si>
    <t>Madiha</t>
  </si>
  <si>
    <t>Masood</t>
  </si>
  <si>
    <t>mm@ikanconstruction.com</t>
  </si>
  <si>
    <t>12:09 pm New York Time</t>
  </si>
  <si>
    <t>March 3, 2021 10:33 am New York Time</t>
  </si>
  <si>
    <t>9:56 am New York Time</t>
  </si>
  <si>
    <t>Siva Praneeth Reddy</t>
  </si>
  <si>
    <t>Gudibandi</t>
  </si>
  <si>
    <t>sreddy@venusgroupinc.com</t>
  </si>
  <si>
    <t>9:41 am New York Time</t>
  </si>
  <si>
    <t>March 9, 2021 11:31 am New York Time</t>
  </si>
  <si>
    <t>Sofia</t>
  </si>
  <si>
    <t>Antoniadis</t>
  </si>
  <si>
    <t>acecoinc@aol.com</t>
  </si>
  <si>
    <t>10:46 am New York Time</t>
  </si>
  <si>
    <t>March 5, 2021 2:37 pm New York Time</t>
  </si>
  <si>
    <t>9:42 am New York Time</t>
  </si>
  <si>
    <t>10:45 am New York Time</t>
  </si>
  <si>
    <t>10:41 am New York Time</t>
  </si>
  <si>
    <t>Kerry</t>
  </si>
  <si>
    <t>Kelley</t>
  </si>
  <si>
    <t>kerry@empireconstructionnyc.com</t>
  </si>
  <si>
    <t>March 3, 2021 10:14 am New York Time</t>
  </si>
  <si>
    <t>Giovanni</t>
  </si>
  <si>
    <t>Napolitano</t>
  </si>
  <si>
    <t>gianni@gtxconstruction.com</t>
  </si>
  <si>
    <t>10:18 am New York Time</t>
  </si>
  <si>
    <t>March 1, 2021 2:20 pm New York Time</t>
  </si>
  <si>
    <t>10:14 am New York Time</t>
  </si>
  <si>
    <t>Lawson</t>
  </si>
  <si>
    <t>Harris</t>
  </si>
  <si>
    <t>lawson@mamais.com</t>
  </si>
  <si>
    <t>March 8, 2021 9:39 am New York Time</t>
  </si>
  <si>
    <t>Roque</t>
  </si>
  <si>
    <t>Schipilliti</t>
  </si>
  <si>
    <t>rgs@cidbuilds.com</t>
  </si>
  <si>
    <t>March 11, 2021 10:12 am New York Time</t>
  </si>
  <si>
    <t>Kurt</t>
  </si>
  <si>
    <t>Bedore</t>
  </si>
  <si>
    <t>kbedore@nycap.rr.com</t>
  </si>
  <si>
    <t>10:01 am New York Time</t>
  </si>
  <si>
    <t>March 1, 2021 12:36 pm New York Time</t>
  </si>
  <si>
    <t>Desiree</t>
  </si>
  <si>
    <t>Ramnarine</t>
  </si>
  <si>
    <t>desiree.dhandy@gmail.com</t>
  </si>
  <si>
    <t>March 10, 2021 4:13 pm New York Time</t>
  </si>
  <si>
    <t>JOCs</t>
  </si>
  <si>
    <t>Account</t>
  </si>
  <si>
    <t>jocs@dasny.org</t>
  </si>
  <si>
    <t>9:30 am New York Time</t>
  </si>
  <si>
    <t>Victor</t>
  </si>
  <si>
    <t>Tchij</t>
  </si>
  <si>
    <t>victort@atcocontracting.com</t>
  </si>
  <si>
    <t>Karl</t>
  </si>
  <si>
    <t>Griffith</t>
  </si>
  <si>
    <t>karl@zenaelectric.com</t>
  </si>
  <si>
    <t>10:44 am New York Time</t>
  </si>
  <si>
    <t>March 22, 2021 10:44 am New York Time</t>
  </si>
  <si>
    <t>Kathleen</t>
  </si>
  <si>
    <t>Wilkins</t>
  </si>
  <si>
    <t>info@wilkinsmechanical.net</t>
  </si>
  <si>
    <t>9:57 am New York Time</t>
  </si>
  <si>
    <t>March 22, 2021 8:20 am New York Time</t>
  </si>
  <si>
    <t>Ledjan</t>
  </si>
  <si>
    <t>Fisniku</t>
  </si>
  <si>
    <t>mk@ds-restoration.com</t>
  </si>
  <si>
    <t>9:53 am New York Time</t>
  </si>
  <si>
    <t>March 4, 2021 3:07 pm New York Time</t>
  </si>
  <si>
    <t>Alina</t>
  </si>
  <si>
    <t>Fattakhova</t>
  </si>
  <si>
    <t>afattakhova@eia.us</t>
  </si>
  <si>
    <t>March 1, 2021 1:48 pm New York Time</t>
  </si>
  <si>
    <t>Bryan</t>
  </si>
  <si>
    <t>Fulmer</t>
  </si>
  <si>
    <t>bryan.fulmer@btconlog.com</t>
  </si>
  <si>
    <t>9:52 am New York Time</t>
  </si>
  <si>
    <t>March 2, 2021 11:56 am New York Time</t>
  </si>
  <si>
    <t>TIMOTHY</t>
  </si>
  <si>
    <t>SUTTLES</t>
  </si>
  <si>
    <t>timsuttles@sec-elec.com</t>
  </si>
  <si>
    <t>9:51 am New York Time</t>
  </si>
  <si>
    <t>March 22, 2021 7:23 am New York Time</t>
  </si>
  <si>
    <t>Sachin</t>
  </si>
  <si>
    <t>Garg</t>
  </si>
  <si>
    <t>info@hibuild.com</t>
  </si>
  <si>
    <t>10:08 am New York Time</t>
  </si>
  <si>
    <t>March 2, 2021 11:06 am New York Time</t>
  </si>
  <si>
    <t>11:57 am New York Time</t>
  </si>
  <si>
    <t>10:02 am New York Time</t>
  </si>
  <si>
    <t>11:49 am New York Time</t>
  </si>
  <si>
    <t>Juan</t>
  </si>
  <si>
    <t>Osorio</t>
  </si>
  <si>
    <t>josorio@empirecontrol.com</t>
  </si>
  <si>
    <t>March 8, 2021 1:10 pm New York Time</t>
  </si>
  <si>
    <t>Robert</t>
  </si>
  <si>
    <t>Stanton</t>
  </si>
  <si>
    <t>rstanton@streeterassocites.com</t>
  </si>
  <si>
    <t>10:49 am New York Time</t>
  </si>
  <si>
    <t>March 22, 2021 10:49 am New York Time</t>
  </si>
  <si>
    <t>salome</t>
  </si>
  <si>
    <t>rodriguez</t>
  </si>
  <si>
    <t>s.rodriguez@qclny.com</t>
  </si>
  <si>
    <t>10:30 am New York Time</t>
  </si>
  <si>
    <t>March 22, 2021 10:30 am New York Time</t>
  </si>
  <si>
    <t>ramanuja</t>
  </si>
  <si>
    <t>manam</t>
  </si>
  <si>
    <t>ramanuja@ashnuinternational.com</t>
  </si>
  <si>
    <t>March 12, 2021 10:49 am New York Time</t>
  </si>
  <si>
    <t>Carolina</t>
  </si>
  <si>
    <t>Arias</t>
  </si>
  <si>
    <t>carolina@cccrenovation.com</t>
  </si>
  <si>
    <t>10:55 am New York Time</t>
  </si>
  <si>
    <t>March 5, 2021 3:56 pm New York Time</t>
  </si>
  <si>
    <t>Stephen</t>
  </si>
  <si>
    <t>Pharai</t>
  </si>
  <si>
    <t>saban@sabancorp.com</t>
  </si>
  <si>
    <t>March 19, 2021 9:57 am New York Time</t>
  </si>
  <si>
    <t>Jose</t>
  </si>
  <si>
    <t>Garcia</t>
  </si>
  <si>
    <t>approvedgc@aol.com</t>
  </si>
  <si>
    <t>March 10, 2021 1:19 pm New York Time</t>
  </si>
  <si>
    <t>Nick</t>
  </si>
  <si>
    <t>Bennett</t>
  </si>
  <si>
    <t>nick@licraftsmanship.com</t>
  </si>
  <si>
    <t>March 22, 2021 9:45 am New York Time</t>
  </si>
  <si>
    <t>Jeanne</t>
  </si>
  <si>
    <t>Teale</t>
  </si>
  <si>
    <t>jteale@dasny.org</t>
  </si>
  <si>
    <t>March 22, 2021 10:01 am New York Time</t>
  </si>
  <si>
    <t>albert</t>
  </si>
  <si>
    <t>Urban</t>
  </si>
  <si>
    <t>aurban@globalurbanenterprise.com</t>
  </si>
  <si>
    <t>March 6, 2021 11:37 am New York Time</t>
  </si>
  <si>
    <t>jody</t>
  </si>
  <si>
    <t>garofolo</t>
  </si>
  <si>
    <t>jgarofolo@gsqelectric.com</t>
  </si>
  <si>
    <t>12:14 pm New York Time</t>
  </si>
  <si>
    <t>March 11, 2021 10:57 am New York Time</t>
  </si>
  <si>
    <t>alex</t>
  </si>
  <si>
    <t>lubin</t>
  </si>
  <si>
    <t>alex@lexxcommunications.com</t>
  </si>
  <si>
    <t>March 22, 2021 10:02 am New York Time</t>
  </si>
  <si>
    <t>Lyle</t>
  </si>
  <si>
    <t>Halbert</t>
  </si>
  <si>
    <t>lyle@esmithcontractors.com</t>
  </si>
  <si>
    <t>March 9, 2021 3:59 pm New York Time</t>
  </si>
  <si>
    <t>Gildardo</t>
  </si>
  <si>
    <t>Ocena</t>
  </si>
  <si>
    <t>g.ocena@qclny.com</t>
  </si>
  <si>
    <t>10:38 am New York Time</t>
  </si>
  <si>
    <t>March 22, 2021 10:38 am New York Time</t>
  </si>
  <si>
    <t>Matthew</t>
  </si>
  <si>
    <t>matthew@proconnyc.com</t>
  </si>
  <si>
    <t>March 22, 2021 9:59 am New York Time</t>
  </si>
  <si>
    <t>Amanda</t>
  </si>
  <si>
    <t>McGinley</t>
  </si>
  <si>
    <t>amanda@macfhionnelectric.com</t>
  </si>
  <si>
    <t>March 4, 2021 11:04 am New York Time</t>
  </si>
  <si>
    <t>Andrew</t>
  </si>
  <si>
    <t>Stair</t>
  </si>
  <si>
    <t>thermohydronic@msn.com</t>
  </si>
  <si>
    <t>March 15, 2021 1:02 pm New York Time</t>
  </si>
  <si>
    <t>Ahmed</t>
  </si>
  <si>
    <t>Beshr</t>
  </si>
  <si>
    <t>areda@projecs.com</t>
  </si>
  <si>
    <t>10:21 am New York Time</t>
  </si>
  <si>
    <t>March 1, 2021 11:28 pm New York Time</t>
  </si>
  <si>
    <t>La'Tonia</t>
  </si>
  <si>
    <t>Mertica</t>
  </si>
  <si>
    <t>latoniamertica@gmail.com</t>
  </si>
  <si>
    <t>March 2, 2021 2:16 pm New York Time</t>
  </si>
  <si>
    <t>Hello. My firm is MWBE certified in Syracuse City in Onondaga County. I'm interested in providing photography and videography services to primes and other subcontractors to document the before, during, after process or simply to capture the work involved.</t>
  </si>
  <si>
    <t>Gillian</t>
  </si>
  <si>
    <t>Giannin</t>
  </si>
  <si>
    <t>gillian@babylonconstructionco.com</t>
  </si>
  <si>
    <t>March 2, 2021 10:03 am New York Time</t>
  </si>
  <si>
    <t>John</t>
  </si>
  <si>
    <t>Ku</t>
  </si>
  <si>
    <t>john@nestwirelessglobal.com</t>
  </si>
  <si>
    <t>10:37 am New York Time</t>
  </si>
  <si>
    <t>February 27, 2021 5:25 pm New York Time</t>
  </si>
  <si>
    <t>Fredericks</t>
  </si>
  <si>
    <t>rf@cidbuilds.com</t>
  </si>
  <si>
    <t>March 22, 2021 9:05 am New York Time</t>
  </si>
  <si>
    <t>Alpesh</t>
  </si>
  <si>
    <t>Patel</t>
  </si>
  <si>
    <t>voltampelectrical@gmail.com</t>
  </si>
  <si>
    <t>March 8, 2021 7:00 am New York Time</t>
  </si>
  <si>
    <t>Harpreet</t>
  </si>
  <si>
    <t>Singh</t>
  </si>
  <si>
    <t>hscnyc@gmail.com</t>
  </si>
  <si>
    <t>March 6, 2021 9:10 am New York Time</t>
  </si>
  <si>
    <t>9:45 am New York Time</t>
  </si>
  <si>
    <t>L</t>
  </si>
  <si>
    <t>john@sgtrllc.com</t>
  </si>
  <si>
    <t>March 10, 2021 8:38 am New York Time</t>
  </si>
  <si>
    <t>Redd</t>
  </si>
  <si>
    <t>Grant</t>
  </si>
  <si>
    <t>rgrant@reddelectrical.com</t>
  </si>
  <si>
    <t>March 13, 2021 9:50 am New York Time</t>
  </si>
  <si>
    <t>Rajan</t>
  </si>
  <si>
    <t>Bajaj</t>
  </si>
  <si>
    <t>sundeepc@att.net</t>
  </si>
  <si>
    <t>March 19, 2021 4:05 pm New York Time</t>
  </si>
  <si>
    <t>Chongba</t>
  </si>
  <si>
    <t>Sherpa</t>
  </si>
  <si>
    <t>chongba@sherpagcm.com</t>
  </si>
  <si>
    <t>March 3, 2021 6:32 pm New York Time</t>
  </si>
  <si>
    <t>Valentina</t>
  </si>
  <si>
    <t>Bulgakova</t>
  </si>
  <si>
    <t>vbulgakova@eia.us</t>
  </si>
  <si>
    <t>10:06 am New York Time</t>
  </si>
  <si>
    <t>March 22, 2021 10:06 am New York Time</t>
  </si>
  <si>
    <t>Sharanjit</t>
  </si>
  <si>
    <t>Kaur</t>
  </si>
  <si>
    <t>newsafeway1@yahoo.com</t>
  </si>
  <si>
    <t>9:38 am New York Time</t>
  </si>
  <si>
    <t>March 17, 2021 2:10 pm New York Time</t>
  </si>
  <si>
    <t>Larry</t>
  </si>
  <si>
    <t>Katz</t>
  </si>
  <si>
    <t>estimating@ramsmechanical.com</t>
  </si>
  <si>
    <t>9:40 am New York Time</t>
  </si>
  <si>
    <t>March 12, 2021 2:21 pm New York Time</t>
  </si>
  <si>
    <t>Anu</t>
  </si>
  <si>
    <t>Kuruvatti</t>
  </si>
  <si>
    <t>anu@geo-matrix.com</t>
  </si>
  <si>
    <t>March 17, 2021 1:37 pm New York Time</t>
  </si>
  <si>
    <t>Tim</t>
  </si>
  <si>
    <t>Ahern</t>
  </si>
  <si>
    <t>tim.ahern@legacydevelopers.com</t>
  </si>
  <si>
    <t>March 3, 2021 3:22 pm New York Time</t>
  </si>
  <si>
    <t>Pradeep</t>
  </si>
  <si>
    <t>wpoffice@skcminc.com</t>
  </si>
  <si>
    <t>9:35 am New York Time</t>
  </si>
  <si>
    <t>March 22, 2021 9:35 am New York Time</t>
  </si>
  <si>
    <t>liliane</t>
  </si>
  <si>
    <t>gurguis</t>
  </si>
  <si>
    <t>lgurguis@dasny.org</t>
  </si>
  <si>
    <t>10:07 am New York Time</t>
  </si>
  <si>
    <t>March 22, 2021 10:07 am New York Time</t>
  </si>
  <si>
    <t>Jerrod</t>
  </si>
  <si>
    <t>Delaine</t>
  </si>
  <si>
    <t>jdelaine@carthageadvisors.com</t>
  </si>
  <si>
    <t>March 1, 2021 4:36 pm New York Time</t>
  </si>
  <si>
    <t>Trevor</t>
  </si>
  <si>
    <t>Prince</t>
  </si>
  <si>
    <t>tprince@constructomics.com</t>
  </si>
  <si>
    <t>March 5, 2021 4:20 pm New York Time</t>
  </si>
  <si>
    <t>Dheeraj</t>
  </si>
  <si>
    <t>Amjala</t>
  </si>
  <si>
    <t>roger.dhandy@gmail.com</t>
  </si>
  <si>
    <t>March 10, 2021 4:16 pm New York Time</t>
  </si>
  <si>
    <t>Filemon</t>
  </si>
  <si>
    <t>Trajano</t>
  </si>
  <si>
    <t>f.trajano@qclny.com</t>
  </si>
  <si>
    <t>10:27 am New York Time</t>
  </si>
  <si>
    <t>March 2, 2021 8:10 am New York Time</t>
  </si>
  <si>
    <t>Rajesh</t>
  </si>
  <si>
    <t>Ladhani</t>
  </si>
  <si>
    <t>rl@ds-restoration.com</t>
  </si>
  <si>
    <t>March 4, 2021 3:03 pm New York Time</t>
  </si>
  <si>
    <t>Adrian</t>
  </si>
  <si>
    <t>Calixte</t>
  </si>
  <si>
    <t>rnwelect@rnwelectric.com</t>
  </si>
  <si>
    <t>9:50 am New York Time</t>
  </si>
  <si>
    <t>March 3, 2021 12:42 pm New York Time</t>
  </si>
  <si>
    <t>Aazad</t>
  </si>
  <si>
    <t>Parajuli</t>
  </si>
  <si>
    <t>aparajuli@machgroupinc.com</t>
  </si>
  <si>
    <t>10:33 am New York Time</t>
  </si>
  <si>
    <t>March 22, 2021 10:33 am New York Time</t>
  </si>
  <si>
    <t>Akash</t>
  </si>
  <si>
    <t>Kantharaj</t>
  </si>
  <si>
    <t>akashb@cubecsllc.com</t>
  </si>
  <si>
    <t>March 22, 2021 10:03 am New York Time</t>
  </si>
  <si>
    <t>Shivang</t>
  </si>
  <si>
    <t>Shukla</t>
  </si>
  <si>
    <t>avenuecon@gmail.com</t>
  </si>
  <si>
    <t>9:37 am New York Time</t>
  </si>
  <si>
    <t>March 8, 2021 12:14 pm New York Time</t>
  </si>
  <si>
    <t>9:32 am New York Time</t>
  </si>
  <si>
    <t>Rodrigo</t>
  </si>
  <si>
    <t>Barros</t>
  </si>
  <si>
    <t>rodrigos458@gmail.com</t>
  </si>
  <si>
    <t>March 5, 2021 7:50 pm New York Time</t>
  </si>
  <si>
    <t>Ghassan</t>
  </si>
  <si>
    <t>Sab</t>
  </si>
  <si>
    <t>gus@apselectric.net</t>
  </si>
  <si>
    <t>11:40 am New York Time</t>
  </si>
  <si>
    <t>March 22, 2021 11:40 am New York Time</t>
  </si>
  <si>
    <t>Paulina</t>
  </si>
  <si>
    <t>Ribadeneyra</t>
  </si>
  <si>
    <t>paulina@workspacecg.com</t>
  </si>
  <si>
    <t>10:13 am New York Time</t>
  </si>
  <si>
    <t>March 22, 2021 10:13 am New York Time</t>
  </si>
  <si>
    <t>Ali</t>
  </si>
  <si>
    <t>Tariq</t>
  </si>
  <si>
    <t>atariq@saadconstructioncorp.com</t>
  </si>
  <si>
    <t>10:10 am New York Time</t>
  </si>
  <si>
    <t>March 10, 2021 10:01 am New York Time</t>
  </si>
  <si>
    <t>Claudio</t>
  </si>
  <si>
    <t>Belusic</t>
  </si>
  <si>
    <t>cbelusic@awlindustries.com</t>
  </si>
  <si>
    <t>March 8, 2021 10:59 am New York Time</t>
  </si>
  <si>
    <t>Bryant</t>
  </si>
  <si>
    <t>bryantspropertymaintenance@gmail.com</t>
  </si>
  <si>
    <t>March 4, 2021 7:24 pm New York Time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</si>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</sst>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9"/>
  <sheetViews>
    <sheetView tabSelected="1" workbookViewId="0">
      <selection activeCell="A3" sqref="A3"/>
    </sheetView>
  </sheetViews>
  <sheetFormatPr defaultRowHeight="14.5" x14ac:dyDescent="0.35"/>
  <sheetData>
    <row r="1" spans="1:37" x14ac:dyDescent="0.35">
      <c r="A1" t="s">
        <v>0</v>
      </c>
    </row>
    <row r="2" spans="1:37" x14ac:dyDescent="0.35">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row>
    <row r="3" spans="1:37" x14ac:dyDescent="0.35">
      <c r="A3">
        <v>1</v>
      </c>
      <c r="B3" t="str">
        <f t="shared" ref="B3:B34" si="0">"186505354601832687"</f>
        <v>186505354601832687</v>
      </c>
      <c r="C3">
        <v>1603921565</v>
      </c>
      <c r="D3" t="s">
        <v>38</v>
      </c>
      <c r="E3" t="s">
        <v>39</v>
      </c>
      <c r="F3" t="s">
        <v>40</v>
      </c>
      <c r="G3" t="s">
        <v>41</v>
      </c>
      <c r="H3" t="s">
        <v>42</v>
      </c>
      <c r="I3" t="s">
        <v>43</v>
      </c>
      <c r="J3" t="s">
        <v>44</v>
      </c>
      <c r="K3" t="s">
        <v>45</v>
      </c>
      <c r="L3" t="s">
        <v>46</v>
      </c>
      <c r="M3" t="s">
        <v>47</v>
      </c>
      <c r="N3" t="s">
        <v>48</v>
      </c>
      <c r="O3" t="s">
        <v>49</v>
      </c>
      <c r="P3" t="s">
        <v>48</v>
      </c>
      <c r="Q3" t="s">
        <v>50</v>
      </c>
      <c r="R3" t="s">
        <v>38</v>
      </c>
      <c r="T3">
        <v>0</v>
      </c>
      <c r="V3" t="s">
        <v>49</v>
      </c>
      <c r="W3" t="str">
        <f t="shared" ref="W3:W34" si="1">"  "</f>
        <v xml:space="preserve">  </v>
      </c>
      <c r="Y3" t="str">
        <f t="shared" ref="Y3:Y8" si="2">"  "</f>
        <v xml:space="preserve">  </v>
      </c>
      <c r="Z3" t="str">
        <f t="shared" ref="Z3:Z8" si="3">"1-"</f>
        <v>1-</v>
      </c>
      <c r="AA3" t="str">
        <f t="shared" ref="AA3:AE8" si="4">"  "</f>
        <v xml:space="preserve">  </v>
      </c>
      <c r="AB3" t="str">
        <f t="shared" si="4"/>
        <v xml:space="preserve">  </v>
      </c>
      <c r="AC3" t="str">
        <f t="shared" si="4"/>
        <v xml:space="preserve">  </v>
      </c>
      <c r="AD3" t="str">
        <f t="shared" si="4"/>
        <v xml:space="preserve">  </v>
      </c>
      <c r="AE3" t="str">
        <f t="shared" si="4"/>
        <v xml:space="preserve">  </v>
      </c>
      <c r="AG3" t="str">
        <f>""</f>
        <v/>
      </c>
      <c r="AH3" t="str">
        <f>""</f>
        <v/>
      </c>
      <c r="AI3" t="str">
        <f>""</f>
        <v/>
      </c>
      <c r="AJ3" t="str">
        <f>""</f>
        <v/>
      </c>
      <c r="AK3" t="str">
        <f>""</f>
        <v/>
      </c>
    </row>
    <row r="4" spans="1:37" x14ac:dyDescent="0.35">
      <c r="A4">
        <v>2</v>
      </c>
      <c r="B4" t="str">
        <f t="shared" si="0"/>
        <v>186505354601832687</v>
      </c>
      <c r="C4">
        <v>1603921565</v>
      </c>
      <c r="D4" t="s">
        <v>38</v>
      </c>
      <c r="E4" t="s">
        <v>39</v>
      </c>
      <c r="F4" t="s">
        <v>40</v>
      </c>
      <c r="G4" t="s">
        <v>41</v>
      </c>
      <c r="H4" t="s">
        <v>42</v>
      </c>
      <c r="I4" t="s">
        <v>43</v>
      </c>
      <c r="J4" t="s">
        <v>44</v>
      </c>
      <c r="K4" t="s">
        <v>51</v>
      </c>
      <c r="L4" t="s">
        <v>52</v>
      </c>
      <c r="M4" t="s">
        <v>53</v>
      </c>
      <c r="N4" t="s">
        <v>48</v>
      </c>
      <c r="O4" t="s">
        <v>49</v>
      </c>
      <c r="P4" t="s">
        <v>48</v>
      </c>
      <c r="Q4" t="s">
        <v>50</v>
      </c>
      <c r="R4" t="s">
        <v>38</v>
      </c>
      <c r="T4">
        <v>0</v>
      </c>
      <c r="V4" t="s">
        <v>49</v>
      </c>
      <c r="W4" t="str">
        <f t="shared" si="1"/>
        <v xml:space="preserve">  </v>
      </c>
      <c r="Y4" t="str">
        <f t="shared" si="2"/>
        <v xml:space="preserve">  </v>
      </c>
      <c r="Z4" t="str">
        <f t="shared" si="3"/>
        <v>1-</v>
      </c>
      <c r="AA4" t="str">
        <f t="shared" si="4"/>
        <v xml:space="preserve">  </v>
      </c>
      <c r="AB4" t="str">
        <f t="shared" si="4"/>
        <v xml:space="preserve">  </v>
      </c>
      <c r="AC4" t="str">
        <f t="shared" si="4"/>
        <v xml:space="preserve">  </v>
      </c>
      <c r="AD4" t="str">
        <f t="shared" si="4"/>
        <v xml:space="preserve">  </v>
      </c>
      <c r="AE4" t="str">
        <f t="shared" si="4"/>
        <v xml:space="preserve">  </v>
      </c>
      <c r="AG4" t="str">
        <f>""</f>
        <v/>
      </c>
      <c r="AH4" t="str">
        <f>""</f>
        <v/>
      </c>
      <c r="AI4" t="str">
        <f>""</f>
        <v/>
      </c>
      <c r="AJ4" t="str">
        <f>""</f>
        <v/>
      </c>
      <c r="AK4" t="str">
        <f>""</f>
        <v/>
      </c>
    </row>
    <row r="5" spans="1:37" x14ac:dyDescent="0.35">
      <c r="A5">
        <v>3</v>
      </c>
      <c r="B5" t="str">
        <f t="shared" si="0"/>
        <v>186505354601832687</v>
      </c>
      <c r="C5">
        <v>1603921565</v>
      </c>
      <c r="D5" t="s">
        <v>38</v>
      </c>
      <c r="E5" t="s">
        <v>39</v>
      </c>
      <c r="F5" t="s">
        <v>40</v>
      </c>
      <c r="G5" t="s">
        <v>41</v>
      </c>
      <c r="H5" t="s">
        <v>42</v>
      </c>
      <c r="I5" t="s">
        <v>43</v>
      </c>
      <c r="J5" t="s">
        <v>44</v>
      </c>
      <c r="K5" t="s">
        <v>54</v>
      </c>
      <c r="L5" t="s">
        <v>55</v>
      </c>
      <c r="M5" t="s">
        <v>56</v>
      </c>
      <c r="N5" t="s">
        <v>48</v>
      </c>
      <c r="O5" t="s">
        <v>49</v>
      </c>
      <c r="P5" t="s">
        <v>48</v>
      </c>
      <c r="Q5" t="s">
        <v>57</v>
      </c>
      <c r="R5" t="s">
        <v>38</v>
      </c>
      <c r="T5">
        <v>0</v>
      </c>
      <c r="V5" t="s">
        <v>49</v>
      </c>
      <c r="W5" t="str">
        <f t="shared" si="1"/>
        <v xml:space="preserve">  </v>
      </c>
      <c r="Y5" t="str">
        <f t="shared" si="2"/>
        <v xml:space="preserve">  </v>
      </c>
      <c r="Z5" t="str">
        <f t="shared" si="3"/>
        <v>1-</v>
      </c>
      <c r="AA5" t="str">
        <f t="shared" si="4"/>
        <v xml:space="preserve">  </v>
      </c>
      <c r="AB5" t="str">
        <f t="shared" si="4"/>
        <v xml:space="preserve">  </v>
      </c>
      <c r="AC5" t="str">
        <f t="shared" si="4"/>
        <v xml:space="preserve">  </v>
      </c>
      <c r="AD5" t="str">
        <f t="shared" si="4"/>
        <v xml:space="preserve">  </v>
      </c>
      <c r="AE5" t="str">
        <f t="shared" si="4"/>
        <v xml:space="preserve">  </v>
      </c>
      <c r="AG5" t="str">
        <f>""</f>
        <v/>
      </c>
      <c r="AH5" t="str">
        <f>""</f>
        <v/>
      </c>
      <c r="AI5" t="str">
        <f>""</f>
        <v/>
      </c>
      <c r="AJ5" t="str">
        <f>""</f>
        <v/>
      </c>
      <c r="AK5" t="str">
        <f>""</f>
        <v/>
      </c>
    </row>
    <row r="6" spans="1:37" x14ac:dyDescent="0.35">
      <c r="A6">
        <v>4</v>
      </c>
      <c r="B6" t="str">
        <f t="shared" si="0"/>
        <v>186505354601832687</v>
      </c>
      <c r="C6">
        <v>1603921565</v>
      </c>
      <c r="D6" t="s">
        <v>38</v>
      </c>
      <c r="E6" t="s">
        <v>39</v>
      </c>
      <c r="F6" t="s">
        <v>40</v>
      </c>
      <c r="G6" t="s">
        <v>41</v>
      </c>
      <c r="H6" t="s">
        <v>42</v>
      </c>
      <c r="I6" t="s">
        <v>43</v>
      </c>
      <c r="J6" t="s">
        <v>44</v>
      </c>
      <c r="K6" t="s">
        <v>58</v>
      </c>
      <c r="L6" t="s">
        <v>59</v>
      </c>
      <c r="M6" t="s">
        <v>60</v>
      </c>
      <c r="N6" t="s">
        <v>48</v>
      </c>
      <c r="O6" t="s">
        <v>49</v>
      </c>
      <c r="P6" t="s">
        <v>48</v>
      </c>
      <c r="Q6" t="s">
        <v>57</v>
      </c>
      <c r="R6" t="s">
        <v>38</v>
      </c>
      <c r="T6">
        <v>0</v>
      </c>
      <c r="V6" t="s">
        <v>49</v>
      </c>
      <c r="W6" t="str">
        <f t="shared" si="1"/>
        <v xml:space="preserve">  </v>
      </c>
      <c r="Y6" t="str">
        <f t="shared" si="2"/>
        <v xml:space="preserve">  </v>
      </c>
      <c r="Z6" t="str">
        <f t="shared" si="3"/>
        <v>1-</v>
      </c>
      <c r="AA6" t="str">
        <f t="shared" si="4"/>
        <v xml:space="preserve">  </v>
      </c>
      <c r="AB6" t="str">
        <f t="shared" si="4"/>
        <v xml:space="preserve">  </v>
      </c>
      <c r="AC6" t="str">
        <f t="shared" si="4"/>
        <v xml:space="preserve">  </v>
      </c>
      <c r="AD6" t="str">
        <f t="shared" si="4"/>
        <v xml:space="preserve">  </v>
      </c>
      <c r="AE6" t="str">
        <f t="shared" si="4"/>
        <v xml:space="preserve">  </v>
      </c>
      <c r="AG6" t="str">
        <f>""</f>
        <v/>
      </c>
      <c r="AH6" t="str">
        <f>""</f>
        <v/>
      </c>
      <c r="AI6" t="str">
        <f>""</f>
        <v/>
      </c>
      <c r="AJ6" t="str">
        <f>""</f>
        <v/>
      </c>
      <c r="AK6" t="str">
        <f>""</f>
        <v/>
      </c>
    </row>
    <row r="7" spans="1:37" x14ac:dyDescent="0.35">
      <c r="A7">
        <v>5</v>
      </c>
      <c r="B7" t="str">
        <f t="shared" si="0"/>
        <v>186505354601832687</v>
      </c>
      <c r="C7">
        <v>1603921565</v>
      </c>
      <c r="D7" t="s">
        <v>38</v>
      </c>
      <c r="E7" t="s">
        <v>39</v>
      </c>
      <c r="F7" t="s">
        <v>40</v>
      </c>
      <c r="G7" t="s">
        <v>41</v>
      </c>
      <c r="H7" t="s">
        <v>42</v>
      </c>
      <c r="I7" t="s">
        <v>43</v>
      </c>
      <c r="J7" t="s">
        <v>44</v>
      </c>
      <c r="K7" t="s">
        <v>58</v>
      </c>
      <c r="L7" t="s">
        <v>59</v>
      </c>
      <c r="M7" t="s">
        <v>60</v>
      </c>
      <c r="N7" t="s">
        <v>48</v>
      </c>
      <c r="O7" t="s">
        <v>49</v>
      </c>
      <c r="P7" t="s">
        <v>48</v>
      </c>
      <c r="Q7" t="s">
        <v>61</v>
      </c>
      <c r="R7" t="s">
        <v>38</v>
      </c>
      <c r="T7">
        <v>0</v>
      </c>
      <c r="V7" t="s">
        <v>49</v>
      </c>
      <c r="W7" t="str">
        <f t="shared" si="1"/>
        <v xml:space="preserve">  </v>
      </c>
      <c r="Y7" t="str">
        <f t="shared" si="2"/>
        <v xml:space="preserve">  </v>
      </c>
      <c r="Z7" t="str">
        <f t="shared" si="3"/>
        <v>1-</v>
      </c>
      <c r="AA7" t="str">
        <f t="shared" si="4"/>
        <v xml:space="preserve">  </v>
      </c>
      <c r="AB7" t="str">
        <f t="shared" si="4"/>
        <v xml:space="preserve">  </v>
      </c>
      <c r="AC7" t="str">
        <f t="shared" si="4"/>
        <v xml:space="preserve">  </v>
      </c>
      <c r="AD7" t="str">
        <f t="shared" si="4"/>
        <v xml:space="preserve">  </v>
      </c>
      <c r="AE7" t="str">
        <f t="shared" si="4"/>
        <v xml:space="preserve">  </v>
      </c>
      <c r="AG7" t="str">
        <f>""</f>
        <v/>
      </c>
      <c r="AH7" t="str">
        <f>""</f>
        <v/>
      </c>
      <c r="AI7" t="str">
        <f>""</f>
        <v/>
      </c>
      <c r="AJ7" t="str">
        <f>""</f>
        <v/>
      </c>
      <c r="AK7" t="str">
        <f>""</f>
        <v/>
      </c>
    </row>
    <row r="8" spans="1:37" x14ac:dyDescent="0.35">
      <c r="A8">
        <v>6</v>
      </c>
      <c r="B8" t="str">
        <f t="shared" si="0"/>
        <v>186505354601832687</v>
      </c>
      <c r="C8">
        <v>1603921565</v>
      </c>
      <c r="D8" t="s">
        <v>38</v>
      </c>
      <c r="E8" t="s">
        <v>39</v>
      </c>
      <c r="F8" t="s">
        <v>40</v>
      </c>
      <c r="G8" t="s">
        <v>41</v>
      </c>
      <c r="H8" t="s">
        <v>42</v>
      </c>
      <c r="I8" t="s">
        <v>43</v>
      </c>
      <c r="J8" t="s">
        <v>44</v>
      </c>
      <c r="K8" t="s">
        <v>58</v>
      </c>
      <c r="L8" t="s">
        <v>59</v>
      </c>
      <c r="M8" t="s">
        <v>60</v>
      </c>
      <c r="N8" t="s">
        <v>48</v>
      </c>
      <c r="O8" t="s">
        <v>49</v>
      </c>
      <c r="P8" t="s">
        <v>48</v>
      </c>
      <c r="Q8" t="s">
        <v>62</v>
      </c>
      <c r="R8" t="s">
        <v>38</v>
      </c>
      <c r="T8">
        <v>0</v>
      </c>
      <c r="V8" t="s">
        <v>49</v>
      </c>
      <c r="W8" t="str">
        <f t="shared" si="1"/>
        <v xml:space="preserve">  </v>
      </c>
      <c r="Y8" t="str">
        <f t="shared" si="2"/>
        <v xml:space="preserve">  </v>
      </c>
      <c r="Z8" t="str">
        <f t="shared" si="3"/>
        <v>1-</v>
      </c>
      <c r="AA8" t="str">
        <f t="shared" si="4"/>
        <v xml:space="preserve">  </v>
      </c>
      <c r="AB8" t="str">
        <f t="shared" si="4"/>
        <v xml:space="preserve">  </v>
      </c>
      <c r="AC8" t="str">
        <f t="shared" si="4"/>
        <v xml:space="preserve">  </v>
      </c>
      <c r="AD8" t="str">
        <f t="shared" si="4"/>
        <v xml:space="preserve">  </v>
      </c>
      <c r="AE8" t="str">
        <f t="shared" si="4"/>
        <v xml:space="preserve">  </v>
      </c>
      <c r="AG8" t="str">
        <f>""</f>
        <v/>
      </c>
      <c r="AH8" t="str">
        <f>""</f>
        <v/>
      </c>
      <c r="AI8" t="str">
        <f>""</f>
        <v/>
      </c>
      <c r="AJ8" t="str">
        <f>""</f>
        <v/>
      </c>
      <c r="AK8" t="str">
        <f>""</f>
        <v/>
      </c>
    </row>
    <row r="9" spans="1:37" x14ac:dyDescent="0.35">
      <c r="A9">
        <v>7</v>
      </c>
      <c r="B9" t="str">
        <f t="shared" si="0"/>
        <v>186505354601832687</v>
      </c>
      <c r="C9">
        <v>1603921565</v>
      </c>
      <c r="D9" t="s">
        <v>38</v>
      </c>
      <c r="E9" t="s">
        <v>39</v>
      </c>
      <c r="F9" t="s">
        <v>40</v>
      </c>
      <c r="G9" t="s">
        <v>41</v>
      </c>
      <c r="H9" t="s">
        <v>42</v>
      </c>
      <c r="I9" t="s">
        <v>43</v>
      </c>
      <c r="J9" t="s">
        <v>63</v>
      </c>
      <c r="K9" t="s">
        <v>64</v>
      </c>
      <c r="L9" t="s">
        <v>65</v>
      </c>
      <c r="M9" t="s">
        <v>66</v>
      </c>
      <c r="N9" t="s">
        <v>49</v>
      </c>
      <c r="O9" t="s">
        <v>48</v>
      </c>
      <c r="P9" t="s">
        <v>48</v>
      </c>
      <c r="Q9" t="s">
        <v>67</v>
      </c>
      <c r="R9" t="s">
        <v>38</v>
      </c>
      <c r="S9" t="s">
        <v>68</v>
      </c>
      <c r="T9">
        <v>766837</v>
      </c>
      <c r="U9">
        <v>0</v>
      </c>
      <c r="V9" t="s">
        <v>49</v>
      </c>
      <c r="W9" t="str">
        <f t="shared" si="1"/>
        <v xml:space="preserve">  </v>
      </c>
      <c r="Y9" t="str">
        <f>"ROM Group Inc."</f>
        <v>ROM Group Inc.</v>
      </c>
      <c r="Z9" t="str">
        <f>"1-2129209600"</f>
        <v>1-2129209600</v>
      </c>
      <c r="AA9" t="str">
        <f t="shared" ref="AA9:AB28" si="5">"  "</f>
        <v xml:space="preserve">  </v>
      </c>
      <c r="AB9" t="str">
        <f t="shared" si="5"/>
        <v xml:space="preserve">  </v>
      </c>
      <c r="AC9" t="str">
        <f>"New York"</f>
        <v>New York</v>
      </c>
      <c r="AD9" t="str">
        <f>"New York"</f>
        <v>New York</v>
      </c>
      <c r="AE9" t="str">
        <f>"10026"</f>
        <v>10026</v>
      </c>
      <c r="AG9" t="str">
        <f>"General construction, rough, carpentry, finish, carpentry, interiors finishes, low voltage electrical"</f>
        <v>General construction, rough, carpentry, finish, carpentry, interiors finishes, low voltage electrical</v>
      </c>
      <c r="AH9" t="str">
        <f>""</f>
        <v/>
      </c>
      <c r="AI9" t="str">
        <f>"Is your firm a NYS-certified MBE?"</f>
        <v>Is your firm a NYS-certified MBE?</v>
      </c>
      <c r="AJ9" t="str">
        <f>"Is your firm a NYS-certified SVDOB?"</f>
        <v>Is your firm a NYS-certified SVDOB?</v>
      </c>
      <c r="AK9" t="str">
        <f>""</f>
        <v/>
      </c>
    </row>
    <row r="10" spans="1:37" x14ac:dyDescent="0.35">
      <c r="A10">
        <v>8</v>
      </c>
      <c r="B10" t="str">
        <f t="shared" si="0"/>
        <v>186505354601832687</v>
      </c>
      <c r="C10">
        <v>1603921565</v>
      </c>
      <c r="D10" t="s">
        <v>38</v>
      </c>
      <c r="E10" t="s">
        <v>39</v>
      </c>
      <c r="F10" t="s">
        <v>40</v>
      </c>
      <c r="G10" t="s">
        <v>41</v>
      </c>
      <c r="H10" t="s">
        <v>42</v>
      </c>
      <c r="I10" t="s">
        <v>43</v>
      </c>
      <c r="J10" t="s">
        <v>63</v>
      </c>
      <c r="K10" t="s">
        <v>69</v>
      </c>
      <c r="L10" t="s">
        <v>70</v>
      </c>
      <c r="M10" t="s">
        <v>71</v>
      </c>
      <c r="N10" t="s">
        <v>49</v>
      </c>
      <c r="O10" t="s">
        <v>48</v>
      </c>
      <c r="P10" t="s">
        <v>48</v>
      </c>
      <c r="Q10" t="s">
        <v>72</v>
      </c>
      <c r="R10" t="s">
        <v>38</v>
      </c>
      <c r="S10" t="s">
        <v>73</v>
      </c>
      <c r="T10">
        <v>160269</v>
      </c>
      <c r="U10">
        <v>0</v>
      </c>
      <c r="V10" t="s">
        <v>49</v>
      </c>
      <c r="W10" t="str">
        <f t="shared" si="1"/>
        <v xml:space="preserve">  </v>
      </c>
      <c r="Y10" t="str">
        <f>"American Eagle Electric Co Inc"</f>
        <v>American Eagle Electric Co Inc</v>
      </c>
      <c r="Z10" t="str">
        <f>"1-8455691017"</f>
        <v>1-8455691017</v>
      </c>
      <c r="AA10" t="str">
        <f t="shared" si="5"/>
        <v xml:space="preserve">  </v>
      </c>
      <c r="AB10" t="str">
        <f t="shared" si="5"/>
        <v xml:space="preserve">  </v>
      </c>
      <c r="AC10" t="str">
        <f>"Newburgh"</f>
        <v>Newburgh</v>
      </c>
      <c r="AD10" t="str">
        <f>"New York"</f>
        <v>New York</v>
      </c>
      <c r="AE10" t="str">
        <f>"12550"</f>
        <v>12550</v>
      </c>
      <c r="AG10" t="str">
        <f>"Electrical JOC"</f>
        <v>Electrical JOC</v>
      </c>
      <c r="AH10" t="str">
        <f>""</f>
        <v/>
      </c>
      <c r="AI10" t="str">
        <f>""</f>
        <v/>
      </c>
      <c r="AJ10" t="str">
        <f>""</f>
        <v/>
      </c>
      <c r="AK10" t="str">
        <f>""</f>
        <v/>
      </c>
    </row>
    <row r="11" spans="1:37" x14ac:dyDescent="0.35">
      <c r="A11">
        <v>9</v>
      </c>
      <c r="B11" t="str">
        <f t="shared" si="0"/>
        <v>186505354601832687</v>
      </c>
      <c r="C11">
        <v>1603921565</v>
      </c>
      <c r="D11" t="s">
        <v>38</v>
      </c>
      <c r="E11" t="s">
        <v>39</v>
      </c>
      <c r="F11" t="s">
        <v>40</v>
      </c>
      <c r="G11" t="s">
        <v>41</v>
      </c>
      <c r="H11" t="s">
        <v>42</v>
      </c>
      <c r="I11" t="s">
        <v>43</v>
      </c>
      <c r="J11" t="s">
        <v>63</v>
      </c>
      <c r="K11" t="s">
        <v>74</v>
      </c>
      <c r="L11" t="s">
        <v>75</v>
      </c>
      <c r="M11" t="s">
        <v>76</v>
      </c>
      <c r="N11" t="s">
        <v>49</v>
      </c>
      <c r="O11" t="s">
        <v>48</v>
      </c>
      <c r="P11" t="s">
        <v>48</v>
      </c>
      <c r="Q11" t="s">
        <v>72</v>
      </c>
      <c r="R11" t="s">
        <v>38</v>
      </c>
      <c r="S11" t="s">
        <v>77</v>
      </c>
      <c r="T11">
        <v>557199</v>
      </c>
      <c r="U11">
        <v>0</v>
      </c>
      <c r="V11" t="s">
        <v>49</v>
      </c>
      <c r="W11" t="str">
        <f t="shared" si="1"/>
        <v xml:space="preserve">  </v>
      </c>
      <c r="Y11" t="str">
        <f>"K &amp; V Construction Company"</f>
        <v>K &amp; V Construction Company</v>
      </c>
      <c r="Z11" t="str">
        <f>"1-9086251977"</f>
        <v>1-9086251977</v>
      </c>
      <c r="AA11" t="str">
        <f t="shared" si="5"/>
        <v xml:space="preserve">  </v>
      </c>
      <c r="AB11" t="str">
        <f t="shared" si="5"/>
        <v xml:space="preserve">  </v>
      </c>
      <c r="AC11" t="str">
        <f>"paramus"</f>
        <v>paramus</v>
      </c>
      <c r="AD11" t="str">
        <f>"NJ"</f>
        <v>NJ</v>
      </c>
      <c r="AE11" t="str">
        <f>"07652"</f>
        <v>07652</v>
      </c>
      <c r="AG11" t="str">
        <f>"Manju Kumar, Project Manager from K &amp; V construction company"</f>
        <v>Manju Kumar, Project Manager from K &amp; V construction company</v>
      </c>
      <c r="AH11" t="str">
        <f>"Is your firm a NYS-certified WBE?"</f>
        <v>Is your firm a NYS-certified WBE?</v>
      </c>
      <c r="AI11" t="str">
        <f>"Is your firm a NYS-certified MBE?"</f>
        <v>Is your firm a NYS-certified MBE?</v>
      </c>
      <c r="AJ11" t="str">
        <f>"Is your firm a NYS-certified SVDOB?"</f>
        <v>Is your firm a NYS-certified SVDOB?</v>
      </c>
      <c r="AK11" t="str">
        <f>"Is your firm Currently a DASNY JOC Contractor?"</f>
        <v>Is your firm Currently a DASNY JOC Contractor?</v>
      </c>
    </row>
    <row r="12" spans="1:37" x14ac:dyDescent="0.35">
      <c r="A12">
        <v>10</v>
      </c>
      <c r="B12" t="str">
        <f t="shared" si="0"/>
        <v>186505354601832687</v>
      </c>
      <c r="C12">
        <v>1603921565</v>
      </c>
      <c r="D12" t="s">
        <v>38</v>
      </c>
      <c r="E12" t="s">
        <v>39</v>
      </c>
      <c r="F12" t="s">
        <v>40</v>
      </c>
      <c r="G12" t="s">
        <v>41</v>
      </c>
      <c r="H12" t="s">
        <v>42</v>
      </c>
      <c r="I12" t="s">
        <v>43</v>
      </c>
      <c r="J12" t="s">
        <v>63</v>
      </c>
      <c r="K12" t="s">
        <v>69</v>
      </c>
      <c r="L12" t="s">
        <v>70</v>
      </c>
      <c r="M12" t="s">
        <v>71</v>
      </c>
      <c r="N12" t="s">
        <v>49</v>
      </c>
      <c r="O12" t="s">
        <v>48</v>
      </c>
      <c r="P12" t="s">
        <v>48</v>
      </c>
      <c r="Q12" t="s">
        <v>78</v>
      </c>
      <c r="R12" t="s">
        <v>38</v>
      </c>
      <c r="S12" t="s">
        <v>73</v>
      </c>
      <c r="T12">
        <v>160269</v>
      </c>
      <c r="U12">
        <v>0</v>
      </c>
      <c r="V12" t="s">
        <v>49</v>
      </c>
      <c r="W12" t="str">
        <f t="shared" si="1"/>
        <v xml:space="preserve">  </v>
      </c>
      <c r="Y12" t="str">
        <f>"American Eagle Electric Co Inc"</f>
        <v>American Eagle Electric Co Inc</v>
      </c>
      <c r="Z12" t="str">
        <f>"1-8455691017"</f>
        <v>1-8455691017</v>
      </c>
      <c r="AA12" t="str">
        <f t="shared" si="5"/>
        <v xml:space="preserve">  </v>
      </c>
      <c r="AB12" t="str">
        <f t="shared" si="5"/>
        <v xml:space="preserve">  </v>
      </c>
      <c r="AC12" t="str">
        <f>"Newburgh"</f>
        <v>Newburgh</v>
      </c>
      <c r="AD12" t="str">
        <f>"New York"</f>
        <v>New York</v>
      </c>
      <c r="AE12" t="str">
        <f>"12550"</f>
        <v>12550</v>
      </c>
      <c r="AG12" t="str">
        <f>"Electrical JOC"</f>
        <v>Electrical JOC</v>
      </c>
      <c r="AH12" t="str">
        <f>""</f>
        <v/>
      </c>
      <c r="AI12" t="str">
        <f>""</f>
        <v/>
      </c>
      <c r="AJ12" t="str">
        <f>""</f>
        <v/>
      </c>
      <c r="AK12" t="str">
        <f>""</f>
        <v/>
      </c>
    </row>
    <row r="13" spans="1:37" x14ac:dyDescent="0.35">
      <c r="A13">
        <v>11</v>
      </c>
      <c r="B13" t="str">
        <f t="shared" si="0"/>
        <v>186505354601832687</v>
      </c>
      <c r="C13">
        <v>1603921565</v>
      </c>
      <c r="D13" t="s">
        <v>38</v>
      </c>
      <c r="E13" t="s">
        <v>39</v>
      </c>
      <c r="F13" t="s">
        <v>40</v>
      </c>
      <c r="G13" t="s">
        <v>41</v>
      </c>
      <c r="H13" t="s">
        <v>42</v>
      </c>
      <c r="I13" t="s">
        <v>43</v>
      </c>
      <c r="J13" t="s">
        <v>63</v>
      </c>
      <c r="K13" t="s">
        <v>79</v>
      </c>
      <c r="L13" t="s">
        <v>80</v>
      </c>
      <c r="M13" t="s">
        <v>81</v>
      </c>
      <c r="N13" t="s">
        <v>49</v>
      </c>
      <c r="O13" t="s">
        <v>48</v>
      </c>
      <c r="P13" t="s">
        <v>48</v>
      </c>
      <c r="Q13" t="s">
        <v>82</v>
      </c>
      <c r="R13" t="s">
        <v>38</v>
      </c>
      <c r="S13" t="s">
        <v>83</v>
      </c>
      <c r="T13">
        <v>891873</v>
      </c>
      <c r="U13">
        <v>0</v>
      </c>
      <c r="V13" t="s">
        <v>49</v>
      </c>
      <c r="W13" t="str">
        <f t="shared" si="1"/>
        <v xml:space="preserve">  </v>
      </c>
      <c r="Y13" t="str">
        <f>"AECOM"</f>
        <v>AECOM</v>
      </c>
      <c r="Z13" t="str">
        <f>"1-2016696479"</f>
        <v>1-2016696479</v>
      </c>
      <c r="AA13" t="str">
        <f t="shared" si="5"/>
        <v xml:space="preserve">  </v>
      </c>
      <c r="AB13" t="str">
        <f t="shared" si="5"/>
        <v xml:space="preserve">  </v>
      </c>
      <c r="AC13" t="str">
        <f>"Clifton"</f>
        <v>Clifton</v>
      </c>
      <c r="AD13" t="str">
        <f>"New Jersey"</f>
        <v>New Jersey</v>
      </c>
      <c r="AE13" t="str">
        <f>"07621"</f>
        <v>07621</v>
      </c>
      <c r="AG13" t="str">
        <f>"Architecture, Civil, Structural, Geotechnical, Environmental, Mechanical, Environmental, Plumbing, Construction Management, Program Management,"</f>
        <v>Architecture, Civil, Structural, Geotechnical, Environmental, Mechanical, Environmental, Plumbing, Construction Management, Program Management,</v>
      </c>
      <c r="AH13" t="str">
        <f>""</f>
        <v/>
      </c>
      <c r="AI13" t="str">
        <f>""</f>
        <v/>
      </c>
      <c r="AJ13" t="str">
        <f>""</f>
        <v/>
      </c>
      <c r="AK13" t="str">
        <f>""</f>
        <v/>
      </c>
    </row>
    <row r="14" spans="1:37" x14ac:dyDescent="0.35">
      <c r="A14">
        <v>12</v>
      </c>
      <c r="B14" t="str">
        <f t="shared" si="0"/>
        <v>186505354601832687</v>
      </c>
      <c r="C14">
        <v>1603921565</v>
      </c>
      <c r="D14" t="s">
        <v>38</v>
      </c>
      <c r="E14" t="s">
        <v>39</v>
      </c>
      <c r="F14" t="s">
        <v>40</v>
      </c>
      <c r="G14" t="s">
        <v>41</v>
      </c>
      <c r="H14" t="s">
        <v>42</v>
      </c>
      <c r="I14" t="s">
        <v>43</v>
      </c>
      <c r="J14" t="s">
        <v>63</v>
      </c>
      <c r="K14" t="s">
        <v>84</v>
      </c>
      <c r="L14" t="s">
        <v>85</v>
      </c>
      <c r="M14" t="s">
        <v>86</v>
      </c>
      <c r="N14" t="s">
        <v>49</v>
      </c>
      <c r="O14" t="s">
        <v>48</v>
      </c>
      <c r="P14" t="s">
        <v>48</v>
      </c>
      <c r="Q14" t="s">
        <v>87</v>
      </c>
      <c r="R14" t="s">
        <v>38</v>
      </c>
      <c r="S14" t="s">
        <v>88</v>
      </c>
      <c r="T14">
        <v>203551</v>
      </c>
      <c r="U14">
        <v>0</v>
      </c>
      <c r="V14" t="s">
        <v>49</v>
      </c>
      <c r="W14" t="str">
        <f t="shared" si="1"/>
        <v xml:space="preserve">  </v>
      </c>
      <c r="Y14" t="str">
        <f>"Pro Con Group, Inc"</f>
        <v>Pro Con Group, Inc</v>
      </c>
      <c r="Z14" t="str">
        <f>"1-7189668080"</f>
        <v>1-7189668080</v>
      </c>
      <c r="AA14" t="str">
        <f t="shared" si="5"/>
        <v xml:space="preserve">  </v>
      </c>
      <c r="AB14" t="str">
        <f t="shared" si="5"/>
        <v xml:space="preserve">  </v>
      </c>
      <c r="AC14" t="str">
        <f>"Staten Island"</f>
        <v>Staten Island</v>
      </c>
      <c r="AD14" t="str">
        <f>"NY"</f>
        <v>NY</v>
      </c>
      <c r="AE14" t="str">
        <f>"10309"</f>
        <v>10309</v>
      </c>
      <c r="AG14" t="str">
        <f>"JOC Contracts &amp; GC Contracts"</f>
        <v>JOC Contracts &amp; GC Contracts</v>
      </c>
      <c r="AH14" t="str">
        <f>""</f>
        <v/>
      </c>
      <c r="AI14" t="str">
        <f>""</f>
        <v/>
      </c>
      <c r="AJ14" t="str">
        <f>""</f>
        <v/>
      </c>
      <c r="AK14" t="str">
        <f>"Is your firm Currently a DASNY JOC Contractor?"</f>
        <v>Is your firm Currently a DASNY JOC Contractor?</v>
      </c>
    </row>
    <row r="15" spans="1:37" x14ac:dyDescent="0.35">
      <c r="A15">
        <v>13</v>
      </c>
      <c r="B15" t="str">
        <f t="shared" si="0"/>
        <v>186505354601832687</v>
      </c>
      <c r="C15">
        <v>1603921565</v>
      </c>
      <c r="D15" t="s">
        <v>38</v>
      </c>
      <c r="E15" t="s">
        <v>39</v>
      </c>
      <c r="F15" t="s">
        <v>40</v>
      </c>
      <c r="G15" t="s">
        <v>41</v>
      </c>
      <c r="H15" t="s">
        <v>42</v>
      </c>
      <c r="I15" t="s">
        <v>43</v>
      </c>
      <c r="J15" t="s">
        <v>63</v>
      </c>
      <c r="K15" t="s">
        <v>89</v>
      </c>
      <c r="L15" t="s">
        <v>90</v>
      </c>
      <c r="M15" t="s">
        <v>91</v>
      </c>
      <c r="N15" t="s">
        <v>49</v>
      </c>
      <c r="O15" t="s">
        <v>48</v>
      </c>
      <c r="P15" t="s">
        <v>48</v>
      </c>
      <c r="Q15" t="s">
        <v>41</v>
      </c>
      <c r="R15" t="s">
        <v>38</v>
      </c>
      <c r="S15" t="s">
        <v>92</v>
      </c>
      <c r="T15">
        <v>193758</v>
      </c>
      <c r="U15">
        <v>0</v>
      </c>
      <c r="V15" t="s">
        <v>49</v>
      </c>
      <c r="W15" t="str">
        <f t="shared" si="1"/>
        <v xml:space="preserve">  </v>
      </c>
      <c r="Y15" t="str">
        <f>"Blaise Group NY LLC"</f>
        <v>Blaise Group NY LLC</v>
      </c>
      <c r="Z15" t="str">
        <f>"1-9147557814"</f>
        <v>1-9147557814</v>
      </c>
      <c r="AA15" t="str">
        <f t="shared" si="5"/>
        <v xml:space="preserve">  </v>
      </c>
      <c r="AB15" t="str">
        <f t="shared" si="5"/>
        <v xml:space="preserve">  </v>
      </c>
      <c r="AC15" t="str">
        <f>"New Rochelle"</f>
        <v>New Rochelle</v>
      </c>
      <c r="AD15" t="str">
        <f>"NY"</f>
        <v>NY</v>
      </c>
      <c r="AE15" t="str">
        <f>"10801"</f>
        <v>10801</v>
      </c>
      <c r="AG15" t="str">
        <f>"GC"</f>
        <v>GC</v>
      </c>
      <c r="AH15" t="str">
        <f>""</f>
        <v/>
      </c>
      <c r="AI15" t="str">
        <f>"Is your firm a NYS-certified MBE?"</f>
        <v>Is your firm a NYS-certified MBE?</v>
      </c>
      <c r="AJ15" t="str">
        <f>""</f>
        <v/>
      </c>
      <c r="AK15" t="str">
        <f>""</f>
        <v/>
      </c>
    </row>
    <row r="16" spans="1:37" x14ac:dyDescent="0.35">
      <c r="A16">
        <v>14</v>
      </c>
      <c r="B16" t="str">
        <f t="shared" si="0"/>
        <v>186505354601832687</v>
      </c>
      <c r="C16">
        <v>1603921565</v>
      </c>
      <c r="D16" t="s">
        <v>38</v>
      </c>
      <c r="E16" t="s">
        <v>39</v>
      </c>
      <c r="F16" t="s">
        <v>40</v>
      </c>
      <c r="G16" t="s">
        <v>41</v>
      </c>
      <c r="H16" t="s">
        <v>42</v>
      </c>
      <c r="I16" t="s">
        <v>43</v>
      </c>
      <c r="J16" t="s">
        <v>63</v>
      </c>
      <c r="K16" t="s">
        <v>93</v>
      </c>
      <c r="L16" t="s">
        <v>94</v>
      </c>
      <c r="M16" t="s">
        <v>95</v>
      </c>
      <c r="N16" t="s">
        <v>49</v>
      </c>
      <c r="O16" t="s">
        <v>48</v>
      </c>
      <c r="P16" t="s">
        <v>48</v>
      </c>
      <c r="Q16" t="s">
        <v>96</v>
      </c>
      <c r="R16" t="s">
        <v>38</v>
      </c>
      <c r="S16" t="s">
        <v>97</v>
      </c>
      <c r="T16">
        <v>370566</v>
      </c>
      <c r="U16">
        <v>0</v>
      </c>
      <c r="V16" t="s">
        <v>49</v>
      </c>
      <c r="W16" t="str">
        <f t="shared" si="1"/>
        <v xml:space="preserve">  </v>
      </c>
      <c r="Y16" t="str">
        <f>"DRL SERVICES LLC"</f>
        <v>DRL SERVICES LLC</v>
      </c>
      <c r="Z16" t="str">
        <f>"1-7327902422"</f>
        <v>1-7327902422</v>
      </c>
      <c r="AA16" t="str">
        <f t="shared" si="5"/>
        <v xml:space="preserve">  </v>
      </c>
      <c r="AB16" t="str">
        <f t="shared" si="5"/>
        <v xml:space="preserve">  </v>
      </c>
      <c r="AC16" t="str">
        <f>"Somerset"</f>
        <v>Somerset</v>
      </c>
      <c r="AD16" t="str">
        <f>"NJ"</f>
        <v>NJ</v>
      </c>
      <c r="AE16" t="str">
        <f>"08873"</f>
        <v>08873</v>
      </c>
      <c r="AG16" t="str">
        <f>"G.C"</f>
        <v>G.C</v>
      </c>
      <c r="AH16" t="str">
        <f>""</f>
        <v/>
      </c>
      <c r="AI16" t="str">
        <f>"Is your firm a NYS-certified MBE?"</f>
        <v>Is your firm a NYS-certified MBE?</v>
      </c>
      <c r="AJ16" t="str">
        <f>""</f>
        <v/>
      </c>
      <c r="AK16" t="str">
        <f>""</f>
        <v/>
      </c>
    </row>
    <row r="17" spans="1:37" x14ac:dyDescent="0.35">
      <c r="A17">
        <v>15</v>
      </c>
      <c r="B17" t="str">
        <f t="shared" si="0"/>
        <v>186505354601832687</v>
      </c>
      <c r="C17">
        <v>1603921565</v>
      </c>
      <c r="D17" t="s">
        <v>38</v>
      </c>
      <c r="E17" t="s">
        <v>39</v>
      </c>
      <c r="F17" t="s">
        <v>40</v>
      </c>
      <c r="G17" t="s">
        <v>41</v>
      </c>
      <c r="H17" t="s">
        <v>42</v>
      </c>
      <c r="I17" t="s">
        <v>43</v>
      </c>
      <c r="J17" t="s">
        <v>63</v>
      </c>
      <c r="K17" t="s">
        <v>98</v>
      </c>
      <c r="L17" t="s">
        <v>99</v>
      </c>
      <c r="M17" t="s">
        <v>100</v>
      </c>
      <c r="N17" t="s">
        <v>49</v>
      </c>
      <c r="O17" t="s">
        <v>48</v>
      </c>
      <c r="P17" t="s">
        <v>48</v>
      </c>
      <c r="Q17" t="s">
        <v>101</v>
      </c>
      <c r="R17" t="s">
        <v>38</v>
      </c>
      <c r="S17" t="s">
        <v>102</v>
      </c>
      <c r="T17">
        <v>222947</v>
      </c>
      <c r="U17">
        <v>0</v>
      </c>
      <c r="V17" t="s">
        <v>49</v>
      </c>
      <c r="W17" t="str">
        <f t="shared" si="1"/>
        <v xml:space="preserve">  </v>
      </c>
      <c r="Y17" t="str">
        <f>"IKAN Construction Inc."</f>
        <v>IKAN Construction Inc.</v>
      </c>
      <c r="Z17" t="str">
        <f>"1-5163096706"</f>
        <v>1-5163096706</v>
      </c>
      <c r="AA17" t="str">
        <f t="shared" si="5"/>
        <v xml:space="preserve">  </v>
      </c>
      <c r="AB17" t="str">
        <f t="shared" si="5"/>
        <v xml:space="preserve">  </v>
      </c>
      <c r="AC17" t="str">
        <f>"East Meadow"</f>
        <v>East Meadow</v>
      </c>
      <c r="AD17" t="str">
        <f>"New York"</f>
        <v>New York</v>
      </c>
      <c r="AE17" t="str">
        <f>"11554"</f>
        <v>11554</v>
      </c>
      <c r="AG17" t="str">
        <f>"Masonry, Roofing, Concrete &amp; Finishing"</f>
        <v>Masonry, Roofing, Concrete &amp; Finishing</v>
      </c>
      <c r="AH17" t="str">
        <f>""</f>
        <v/>
      </c>
      <c r="AI17" t="str">
        <f>""</f>
        <v/>
      </c>
      <c r="AJ17" t="str">
        <f>""</f>
        <v/>
      </c>
      <c r="AK17" t="str">
        <f>""</f>
        <v/>
      </c>
    </row>
    <row r="18" spans="1:37" x14ac:dyDescent="0.35">
      <c r="A18">
        <v>16</v>
      </c>
      <c r="B18" t="str">
        <f t="shared" si="0"/>
        <v>186505354601832687</v>
      </c>
      <c r="C18">
        <v>1603921565</v>
      </c>
      <c r="D18" t="s">
        <v>38</v>
      </c>
      <c r="E18" t="s">
        <v>39</v>
      </c>
      <c r="F18" t="s">
        <v>40</v>
      </c>
      <c r="G18" t="s">
        <v>41</v>
      </c>
      <c r="H18" t="s">
        <v>42</v>
      </c>
      <c r="I18" t="s">
        <v>43</v>
      </c>
      <c r="J18" t="s">
        <v>63</v>
      </c>
      <c r="K18" t="s">
        <v>98</v>
      </c>
      <c r="L18" t="s">
        <v>99</v>
      </c>
      <c r="M18" t="s">
        <v>100</v>
      </c>
      <c r="N18" t="s">
        <v>49</v>
      </c>
      <c r="O18" t="s">
        <v>48</v>
      </c>
      <c r="P18" t="s">
        <v>48</v>
      </c>
      <c r="Q18" t="s">
        <v>103</v>
      </c>
      <c r="R18" t="s">
        <v>38</v>
      </c>
      <c r="S18" t="s">
        <v>102</v>
      </c>
      <c r="T18">
        <v>222947</v>
      </c>
      <c r="U18">
        <v>0</v>
      </c>
      <c r="V18" t="s">
        <v>49</v>
      </c>
      <c r="W18" t="str">
        <f t="shared" si="1"/>
        <v xml:space="preserve">  </v>
      </c>
      <c r="Y18" t="str">
        <f>"IKAN Construction Inc."</f>
        <v>IKAN Construction Inc.</v>
      </c>
      <c r="Z18" t="str">
        <f>"1-5163096706"</f>
        <v>1-5163096706</v>
      </c>
      <c r="AA18" t="str">
        <f t="shared" si="5"/>
        <v xml:space="preserve">  </v>
      </c>
      <c r="AB18" t="str">
        <f t="shared" si="5"/>
        <v xml:space="preserve">  </v>
      </c>
      <c r="AC18" t="str">
        <f>"East Meadow"</f>
        <v>East Meadow</v>
      </c>
      <c r="AD18" t="str">
        <f>"New York"</f>
        <v>New York</v>
      </c>
      <c r="AE18" t="str">
        <f>"11554"</f>
        <v>11554</v>
      </c>
      <c r="AG18" t="str">
        <f>"Masonry, Roofing, Concrete &amp; Finishing"</f>
        <v>Masonry, Roofing, Concrete &amp; Finishing</v>
      </c>
      <c r="AH18" t="str">
        <f>""</f>
        <v/>
      </c>
      <c r="AI18" t="str">
        <f>""</f>
        <v/>
      </c>
      <c r="AJ18" t="str">
        <f>""</f>
        <v/>
      </c>
      <c r="AK18" t="str">
        <f>""</f>
        <v/>
      </c>
    </row>
    <row r="19" spans="1:37" x14ac:dyDescent="0.35">
      <c r="A19">
        <v>17</v>
      </c>
      <c r="B19" t="str">
        <f t="shared" si="0"/>
        <v>186505354601832687</v>
      </c>
      <c r="C19">
        <v>1603921565</v>
      </c>
      <c r="D19" t="s">
        <v>38</v>
      </c>
      <c r="E19" t="s">
        <v>39</v>
      </c>
      <c r="F19" t="s">
        <v>40</v>
      </c>
      <c r="G19" t="s">
        <v>41</v>
      </c>
      <c r="H19" t="s">
        <v>42</v>
      </c>
      <c r="I19" t="s">
        <v>43</v>
      </c>
      <c r="J19" t="s">
        <v>63</v>
      </c>
      <c r="K19" t="s">
        <v>104</v>
      </c>
      <c r="L19" t="s">
        <v>105</v>
      </c>
      <c r="M19" t="s">
        <v>106</v>
      </c>
      <c r="N19" t="s">
        <v>49</v>
      </c>
      <c r="O19" t="s">
        <v>48</v>
      </c>
      <c r="P19" t="s">
        <v>48</v>
      </c>
      <c r="Q19" t="s">
        <v>107</v>
      </c>
      <c r="R19" t="s">
        <v>38</v>
      </c>
      <c r="S19" t="s">
        <v>108</v>
      </c>
      <c r="T19">
        <v>403499</v>
      </c>
      <c r="U19">
        <v>0</v>
      </c>
      <c r="V19" t="s">
        <v>49</v>
      </c>
      <c r="W19" t="str">
        <f t="shared" si="1"/>
        <v xml:space="preserve">  </v>
      </c>
      <c r="Y19" t="str">
        <f>"Venus Group"</f>
        <v>Venus Group</v>
      </c>
      <c r="Z19" t="str">
        <f>"1-3474805450"</f>
        <v>1-3474805450</v>
      </c>
      <c r="AA19" t="str">
        <f t="shared" si="5"/>
        <v xml:space="preserve">  </v>
      </c>
      <c r="AB19" t="str">
        <f t="shared" si="5"/>
        <v xml:space="preserve">  </v>
      </c>
      <c r="AC19" t="str">
        <f>"South Richmond Hill"</f>
        <v>South Richmond Hill</v>
      </c>
      <c r="AD19" t="str">
        <f>"NY"</f>
        <v>NY</v>
      </c>
      <c r="AE19" t="str">
        <f>"11419"</f>
        <v>11419</v>
      </c>
      <c r="AG19" t="str">
        <f>"1000509999/CR514"</f>
        <v>1000509999/CR514</v>
      </c>
      <c r="AH19" t="str">
        <f>""</f>
        <v/>
      </c>
      <c r="AI19" t="str">
        <f>"Is your firm a NYS-certified MBE?"</f>
        <v>Is your firm a NYS-certified MBE?</v>
      </c>
      <c r="AJ19" t="str">
        <f>""</f>
        <v/>
      </c>
      <c r="AK19" t="str">
        <f t="shared" ref="AK19:AK24" si="6">"Is your firm Currently a DASNY JOC Contractor?"</f>
        <v>Is your firm Currently a DASNY JOC Contractor?</v>
      </c>
    </row>
    <row r="20" spans="1:37" x14ac:dyDescent="0.35">
      <c r="A20">
        <v>18</v>
      </c>
      <c r="B20" t="str">
        <f t="shared" si="0"/>
        <v>186505354601832687</v>
      </c>
      <c r="C20">
        <v>1603921565</v>
      </c>
      <c r="D20" t="s">
        <v>38</v>
      </c>
      <c r="E20" t="s">
        <v>39</v>
      </c>
      <c r="F20" t="s">
        <v>40</v>
      </c>
      <c r="G20" t="s">
        <v>41</v>
      </c>
      <c r="H20" t="s">
        <v>42</v>
      </c>
      <c r="I20" t="s">
        <v>43</v>
      </c>
      <c r="J20" t="s">
        <v>63</v>
      </c>
      <c r="K20" t="s">
        <v>109</v>
      </c>
      <c r="L20" t="s">
        <v>110</v>
      </c>
      <c r="M20" t="s">
        <v>111</v>
      </c>
      <c r="N20" t="s">
        <v>49</v>
      </c>
      <c r="O20" t="s">
        <v>48</v>
      </c>
      <c r="P20" t="s">
        <v>48</v>
      </c>
      <c r="Q20" t="s">
        <v>112</v>
      </c>
      <c r="R20" t="s">
        <v>38</v>
      </c>
      <c r="S20" t="s">
        <v>113</v>
      </c>
      <c r="T20">
        <v>550689</v>
      </c>
      <c r="U20">
        <v>0</v>
      </c>
      <c r="V20" t="s">
        <v>49</v>
      </c>
      <c r="W20" t="str">
        <f t="shared" si="1"/>
        <v xml:space="preserve">  </v>
      </c>
      <c r="Y20" t="str">
        <f>"Ace Contracting, Inc."</f>
        <v>Ace Contracting, Inc.</v>
      </c>
      <c r="Z20" t="str">
        <f>"1-7189988437"</f>
        <v>1-7189988437</v>
      </c>
      <c r="AA20" t="str">
        <f t="shared" si="5"/>
        <v xml:space="preserve">  </v>
      </c>
      <c r="AB20" t="str">
        <f t="shared" si="5"/>
        <v xml:space="preserve">  </v>
      </c>
      <c r="AC20" t="str">
        <f>"Brooklyn"</f>
        <v>Brooklyn</v>
      </c>
      <c r="AD20" t="str">
        <f>"New York"</f>
        <v>New York</v>
      </c>
      <c r="AE20" t="str">
        <f>"11223"</f>
        <v>11223</v>
      </c>
      <c r="AG20" t="str">
        <f>"Plumbing"</f>
        <v>Plumbing</v>
      </c>
      <c r="AH20" t="str">
        <f>""</f>
        <v/>
      </c>
      <c r="AI20" t="str">
        <f>""</f>
        <v/>
      </c>
      <c r="AJ20" t="str">
        <f>""</f>
        <v/>
      </c>
      <c r="AK20" t="str">
        <f t="shared" si="6"/>
        <v>Is your firm Currently a DASNY JOC Contractor?</v>
      </c>
    </row>
    <row r="21" spans="1:37" x14ac:dyDescent="0.35">
      <c r="A21">
        <v>19</v>
      </c>
      <c r="B21" t="str">
        <f t="shared" si="0"/>
        <v>186505354601832687</v>
      </c>
      <c r="C21">
        <v>1603921565</v>
      </c>
      <c r="D21" t="s">
        <v>38</v>
      </c>
      <c r="E21" t="s">
        <v>39</v>
      </c>
      <c r="F21" t="s">
        <v>40</v>
      </c>
      <c r="G21" t="s">
        <v>41</v>
      </c>
      <c r="H21" t="s">
        <v>42</v>
      </c>
      <c r="I21" t="s">
        <v>43</v>
      </c>
      <c r="J21" t="s">
        <v>63</v>
      </c>
      <c r="K21" t="s">
        <v>109</v>
      </c>
      <c r="L21" t="s">
        <v>110</v>
      </c>
      <c r="M21" t="s">
        <v>111</v>
      </c>
      <c r="N21" t="s">
        <v>49</v>
      </c>
      <c r="O21" t="s">
        <v>48</v>
      </c>
      <c r="P21" t="s">
        <v>48</v>
      </c>
      <c r="Q21" t="s">
        <v>114</v>
      </c>
      <c r="R21" t="s">
        <v>38</v>
      </c>
      <c r="S21" t="s">
        <v>113</v>
      </c>
      <c r="T21">
        <v>550689</v>
      </c>
      <c r="U21">
        <v>0</v>
      </c>
      <c r="V21" t="s">
        <v>49</v>
      </c>
      <c r="W21" t="str">
        <f t="shared" si="1"/>
        <v xml:space="preserve">  </v>
      </c>
      <c r="Y21" t="str">
        <f>"Ace Contracting, Inc."</f>
        <v>Ace Contracting, Inc.</v>
      </c>
      <c r="Z21" t="str">
        <f>"1-7189988437"</f>
        <v>1-7189988437</v>
      </c>
      <c r="AA21" t="str">
        <f t="shared" si="5"/>
        <v xml:space="preserve">  </v>
      </c>
      <c r="AB21" t="str">
        <f t="shared" si="5"/>
        <v xml:space="preserve">  </v>
      </c>
      <c r="AC21" t="str">
        <f>"Brooklyn"</f>
        <v>Brooklyn</v>
      </c>
      <c r="AD21" t="str">
        <f>"New York"</f>
        <v>New York</v>
      </c>
      <c r="AE21" t="str">
        <f>"11223"</f>
        <v>11223</v>
      </c>
      <c r="AG21" t="str">
        <f>"Plumbing"</f>
        <v>Plumbing</v>
      </c>
      <c r="AH21" t="str">
        <f>""</f>
        <v/>
      </c>
      <c r="AI21" t="str">
        <f>""</f>
        <v/>
      </c>
      <c r="AJ21" t="str">
        <f>""</f>
        <v/>
      </c>
      <c r="AK21" t="str">
        <f t="shared" si="6"/>
        <v>Is your firm Currently a DASNY JOC Contractor?</v>
      </c>
    </row>
    <row r="22" spans="1:37" x14ac:dyDescent="0.35">
      <c r="A22">
        <v>20</v>
      </c>
      <c r="B22" t="str">
        <f t="shared" si="0"/>
        <v>186505354601832687</v>
      </c>
      <c r="C22">
        <v>1603921565</v>
      </c>
      <c r="D22" t="s">
        <v>38</v>
      </c>
      <c r="E22" t="s">
        <v>39</v>
      </c>
      <c r="F22" t="s">
        <v>40</v>
      </c>
      <c r="G22" t="s">
        <v>41</v>
      </c>
      <c r="H22" t="s">
        <v>42</v>
      </c>
      <c r="I22" t="s">
        <v>43</v>
      </c>
      <c r="J22" t="s">
        <v>63</v>
      </c>
      <c r="K22" t="s">
        <v>109</v>
      </c>
      <c r="L22" t="s">
        <v>110</v>
      </c>
      <c r="M22" t="s">
        <v>111</v>
      </c>
      <c r="N22" t="s">
        <v>49</v>
      </c>
      <c r="O22" t="s">
        <v>48</v>
      </c>
      <c r="P22" t="s">
        <v>48</v>
      </c>
      <c r="Q22" t="s">
        <v>78</v>
      </c>
      <c r="R22" t="s">
        <v>38</v>
      </c>
      <c r="S22" t="s">
        <v>113</v>
      </c>
      <c r="T22">
        <v>550689</v>
      </c>
      <c r="U22">
        <v>0</v>
      </c>
      <c r="V22" t="s">
        <v>49</v>
      </c>
      <c r="W22" t="str">
        <f t="shared" si="1"/>
        <v xml:space="preserve">  </v>
      </c>
      <c r="Y22" t="str">
        <f>"Ace Contracting, Inc."</f>
        <v>Ace Contracting, Inc.</v>
      </c>
      <c r="Z22" t="str">
        <f>"1-7189988437"</f>
        <v>1-7189988437</v>
      </c>
      <c r="AA22" t="str">
        <f t="shared" si="5"/>
        <v xml:space="preserve">  </v>
      </c>
      <c r="AB22" t="str">
        <f t="shared" si="5"/>
        <v xml:space="preserve">  </v>
      </c>
      <c r="AC22" t="str">
        <f>"Brooklyn"</f>
        <v>Brooklyn</v>
      </c>
      <c r="AD22" t="str">
        <f>"New York"</f>
        <v>New York</v>
      </c>
      <c r="AE22" t="str">
        <f>"11223"</f>
        <v>11223</v>
      </c>
      <c r="AG22" t="str">
        <f>"Plumbing"</f>
        <v>Plumbing</v>
      </c>
      <c r="AH22" t="str">
        <f>""</f>
        <v/>
      </c>
      <c r="AI22" t="str">
        <f>""</f>
        <v/>
      </c>
      <c r="AJ22" t="str">
        <f>""</f>
        <v/>
      </c>
      <c r="AK22" t="str">
        <f t="shared" si="6"/>
        <v>Is your firm Currently a DASNY JOC Contractor?</v>
      </c>
    </row>
    <row r="23" spans="1:37" x14ac:dyDescent="0.35">
      <c r="A23">
        <v>21</v>
      </c>
      <c r="B23" t="str">
        <f t="shared" si="0"/>
        <v>186505354601832687</v>
      </c>
      <c r="C23">
        <v>1603921565</v>
      </c>
      <c r="D23" t="s">
        <v>38</v>
      </c>
      <c r="E23" t="s">
        <v>39</v>
      </c>
      <c r="F23" t="s">
        <v>40</v>
      </c>
      <c r="G23" t="s">
        <v>41</v>
      </c>
      <c r="H23" t="s">
        <v>42</v>
      </c>
      <c r="I23" t="s">
        <v>43</v>
      </c>
      <c r="J23" t="s">
        <v>63</v>
      </c>
      <c r="K23" t="s">
        <v>109</v>
      </c>
      <c r="L23" t="s">
        <v>110</v>
      </c>
      <c r="M23" t="s">
        <v>111</v>
      </c>
      <c r="N23" t="s">
        <v>49</v>
      </c>
      <c r="O23" t="s">
        <v>48</v>
      </c>
      <c r="P23" t="s">
        <v>48</v>
      </c>
      <c r="Q23" t="s">
        <v>115</v>
      </c>
      <c r="R23" t="s">
        <v>38</v>
      </c>
      <c r="S23" t="s">
        <v>113</v>
      </c>
      <c r="T23">
        <v>550689</v>
      </c>
      <c r="U23">
        <v>0</v>
      </c>
      <c r="V23" t="s">
        <v>49</v>
      </c>
      <c r="W23" t="str">
        <f t="shared" si="1"/>
        <v xml:space="preserve">  </v>
      </c>
      <c r="Y23" t="str">
        <f>"Ace Contracting, Inc."</f>
        <v>Ace Contracting, Inc.</v>
      </c>
      <c r="Z23" t="str">
        <f>"1-7189988437"</f>
        <v>1-7189988437</v>
      </c>
      <c r="AA23" t="str">
        <f t="shared" si="5"/>
        <v xml:space="preserve">  </v>
      </c>
      <c r="AB23" t="str">
        <f t="shared" si="5"/>
        <v xml:space="preserve">  </v>
      </c>
      <c r="AC23" t="str">
        <f>"Brooklyn"</f>
        <v>Brooklyn</v>
      </c>
      <c r="AD23" t="str">
        <f>"New York"</f>
        <v>New York</v>
      </c>
      <c r="AE23" t="str">
        <f>"11223"</f>
        <v>11223</v>
      </c>
      <c r="AG23" t="str">
        <f>"Plumbing"</f>
        <v>Plumbing</v>
      </c>
      <c r="AH23" t="str">
        <f>""</f>
        <v/>
      </c>
      <c r="AI23" t="str">
        <f>""</f>
        <v/>
      </c>
      <c r="AJ23" t="str">
        <f>""</f>
        <v/>
      </c>
      <c r="AK23" t="str">
        <f t="shared" si="6"/>
        <v>Is your firm Currently a DASNY JOC Contractor?</v>
      </c>
    </row>
    <row r="24" spans="1:37" x14ac:dyDescent="0.35">
      <c r="A24">
        <v>22</v>
      </c>
      <c r="B24" t="str">
        <f t="shared" si="0"/>
        <v>186505354601832687</v>
      </c>
      <c r="C24">
        <v>1603921565</v>
      </c>
      <c r="D24" t="s">
        <v>38</v>
      </c>
      <c r="E24" t="s">
        <v>39</v>
      </c>
      <c r="F24" t="s">
        <v>40</v>
      </c>
      <c r="G24" t="s">
        <v>41</v>
      </c>
      <c r="H24" t="s">
        <v>42</v>
      </c>
      <c r="I24" t="s">
        <v>43</v>
      </c>
      <c r="J24" t="s">
        <v>63</v>
      </c>
      <c r="K24" t="s">
        <v>109</v>
      </c>
      <c r="L24" t="s">
        <v>110</v>
      </c>
      <c r="M24" t="s">
        <v>111</v>
      </c>
      <c r="N24" t="s">
        <v>49</v>
      </c>
      <c r="O24" t="s">
        <v>48</v>
      </c>
      <c r="P24" t="s">
        <v>48</v>
      </c>
      <c r="Q24" t="s">
        <v>116</v>
      </c>
      <c r="R24" t="s">
        <v>38</v>
      </c>
      <c r="S24" t="s">
        <v>113</v>
      </c>
      <c r="T24">
        <v>550689</v>
      </c>
      <c r="U24">
        <v>0</v>
      </c>
      <c r="V24" t="s">
        <v>49</v>
      </c>
      <c r="W24" t="str">
        <f t="shared" si="1"/>
        <v xml:space="preserve">  </v>
      </c>
      <c r="Y24" t="str">
        <f>"Ace Contracting, Inc."</f>
        <v>Ace Contracting, Inc.</v>
      </c>
      <c r="Z24" t="str">
        <f>"1-7189988437"</f>
        <v>1-7189988437</v>
      </c>
      <c r="AA24" t="str">
        <f t="shared" si="5"/>
        <v xml:space="preserve">  </v>
      </c>
      <c r="AB24" t="str">
        <f t="shared" si="5"/>
        <v xml:space="preserve">  </v>
      </c>
      <c r="AC24" t="str">
        <f>"Brooklyn"</f>
        <v>Brooklyn</v>
      </c>
      <c r="AD24" t="str">
        <f>"New York"</f>
        <v>New York</v>
      </c>
      <c r="AE24" t="str">
        <f>"11223"</f>
        <v>11223</v>
      </c>
      <c r="AG24" t="str">
        <f>"Plumbing"</f>
        <v>Plumbing</v>
      </c>
      <c r="AH24" t="str">
        <f>""</f>
        <v/>
      </c>
      <c r="AI24" t="str">
        <f>""</f>
        <v/>
      </c>
      <c r="AJ24" t="str">
        <f>""</f>
        <v/>
      </c>
      <c r="AK24" t="str">
        <f t="shared" si="6"/>
        <v>Is your firm Currently a DASNY JOC Contractor?</v>
      </c>
    </row>
    <row r="25" spans="1:37" x14ac:dyDescent="0.35">
      <c r="A25">
        <v>23</v>
      </c>
      <c r="B25" t="str">
        <f t="shared" si="0"/>
        <v>186505354601832687</v>
      </c>
      <c r="C25">
        <v>1603921565</v>
      </c>
      <c r="D25" t="s">
        <v>38</v>
      </c>
      <c r="E25" t="s">
        <v>39</v>
      </c>
      <c r="F25" t="s">
        <v>40</v>
      </c>
      <c r="G25" t="s">
        <v>41</v>
      </c>
      <c r="H25" t="s">
        <v>42</v>
      </c>
      <c r="I25" t="s">
        <v>43</v>
      </c>
      <c r="J25" t="s">
        <v>63</v>
      </c>
      <c r="K25" t="s">
        <v>117</v>
      </c>
      <c r="L25" t="s">
        <v>118</v>
      </c>
      <c r="M25" t="s">
        <v>119</v>
      </c>
      <c r="N25" t="s">
        <v>49</v>
      </c>
      <c r="O25" t="s">
        <v>48</v>
      </c>
      <c r="P25" t="s">
        <v>48</v>
      </c>
      <c r="Q25" t="s">
        <v>72</v>
      </c>
      <c r="R25" t="s">
        <v>38</v>
      </c>
      <c r="S25" t="s">
        <v>120</v>
      </c>
      <c r="T25">
        <v>128132</v>
      </c>
      <c r="U25">
        <v>0</v>
      </c>
      <c r="V25" t="s">
        <v>49</v>
      </c>
      <c r="W25" t="str">
        <f t="shared" si="1"/>
        <v xml:space="preserve">  </v>
      </c>
      <c r="Y25" t="str">
        <f>"Empire Construction"</f>
        <v>Empire Construction</v>
      </c>
      <c r="Z25" t="str">
        <f>"1-6313985703"</f>
        <v>1-6313985703</v>
      </c>
      <c r="AA25" t="str">
        <f t="shared" si="5"/>
        <v xml:space="preserve">  </v>
      </c>
      <c r="AB25" t="str">
        <f t="shared" si="5"/>
        <v xml:space="preserve">  </v>
      </c>
      <c r="AC25" t="str">
        <f>"Middletown"</f>
        <v>Middletown</v>
      </c>
      <c r="AD25" t="str">
        <f>"NJ"</f>
        <v>NJ</v>
      </c>
      <c r="AE25" t="str">
        <f>"07748"</f>
        <v>07748</v>
      </c>
      <c r="AG25" t="str">
        <f>"1; 2; 3"</f>
        <v>1; 2; 3</v>
      </c>
      <c r="AH25" t="str">
        <f>"Is your firm a NYS-certified WBE?"</f>
        <v>Is your firm a NYS-certified WBE?</v>
      </c>
      <c r="AI25" t="str">
        <f>""</f>
        <v/>
      </c>
      <c r="AJ25" t="str">
        <f>""</f>
        <v/>
      </c>
      <c r="AK25" t="str">
        <f>""</f>
        <v/>
      </c>
    </row>
    <row r="26" spans="1:37" x14ac:dyDescent="0.35">
      <c r="A26">
        <v>24</v>
      </c>
      <c r="B26" t="str">
        <f t="shared" si="0"/>
        <v>186505354601832687</v>
      </c>
      <c r="C26">
        <v>1603921565</v>
      </c>
      <c r="D26" t="s">
        <v>38</v>
      </c>
      <c r="E26" t="s">
        <v>39</v>
      </c>
      <c r="F26" t="s">
        <v>40</v>
      </c>
      <c r="G26" t="s">
        <v>41</v>
      </c>
      <c r="H26" t="s">
        <v>42</v>
      </c>
      <c r="I26" t="s">
        <v>43</v>
      </c>
      <c r="J26" t="s">
        <v>63</v>
      </c>
      <c r="K26" t="s">
        <v>121</v>
      </c>
      <c r="L26" t="s">
        <v>122</v>
      </c>
      <c r="M26" t="s">
        <v>123</v>
      </c>
      <c r="N26" t="s">
        <v>49</v>
      </c>
      <c r="O26" t="s">
        <v>48</v>
      </c>
      <c r="P26" t="s">
        <v>48</v>
      </c>
      <c r="Q26" t="s">
        <v>124</v>
      </c>
      <c r="R26" t="s">
        <v>38</v>
      </c>
      <c r="S26" t="s">
        <v>125</v>
      </c>
      <c r="T26">
        <v>367886</v>
      </c>
      <c r="U26">
        <v>0</v>
      </c>
      <c r="V26" t="s">
        <v>49</v>
      </c>
      <c r="W26" t="str">
        <f t="shared" si="1"/>
        <v xml:space="preserve">  </v>
      </c>
      <c r="Y26" t="str">
        <f>"GTX Construction Associate Corp"</f>
        <v>GTX Construction Associate Corp</v>
      </c>
      <c r="Z26" t="str">
        <f>"1-5166230840"</f>
        <v>1-5166230840</v>
      </c>
      <c r="AA26" t="str">
        <f t="shared" si="5"/>
        <v xml:space="preserve">  </v>
      </c>
      <c r="AB26" t="str">
        <f t="shared" si="5"/>
        <v xml:space="preserve">  </v>
      </c>
      <c r="AC26" t="str">
        <f>"FREEPORT"</f>
        <v>FREEPORT</v>
      </c>
      <c r="AD26" t="str">
        <f>"NY"</f>
        <v>NY</v>
      </c>
      <c r="AE26" t="str">
        <f>"11520"</f>
        <v>11520</v>
      </c>
      <c r="AG26" t="str">
        <f>"Region 1"</f>
        <v>Region 1</v>
      </c>
      <c r="AH26" t="str">
        <f>""</f>
        <v/>
      </c>
      <c r="AI26" t="str">
        <f>""</f>
        <v/>
      </c>
      <c r="AJ26" t="str">
        <f>""</f>
        <v/>
      </c>
      <c r="AK26" t="str">
        <f>""</f>
        <v/>
      </c>
    </row>
    <row r="27" spans="1:37" x14ac:dyDescent="0.35">
      <c r="A27">
        <v>25</v>
      </c>
      <c r="B27" t="str">
        <f t="shared" si="0"/>
        <v>186505354601832687</v>
      </c>
      <c r="C27">
        <v>1603921565</v>
      </c>
      <c r="D27" t="s">
        <v>38</v>
      </c>
      <c r="E27" t="s">
        <v>39</v>
      </c>
      <c r="F27" t="s">
        <v>40</v>
      </c>
      <c r="G27" t="s">
        <v>41</v>
      </c>
      <c r="H27" t="s">
        <v>42</v>
      </c>
      <c r="I27" t="s">
        <v>43</v>
      </c>
      <c r="J27" t="s">
        <v>63</v>
      </c>
      <c r="K27" t="s">
        <v>121</v>
      </c>
      <c r="L27" t="s">
        <v>122</v>
      </c>
      <c r="M27" t="s">
        <v>123</v>
      </c>
      <c r="N27" t="s">
        <v>49</v>
      </c>
      <c r="O27" t="s">
        <v>48</v>
      </c>
      <c r="P27" t="s">
        <v>48</v>
      </c>
      <c r="Q27" t="s">
        <v>126</v>
      </c>
      <c r="R27" t="s">
        <v>38</v>
      </c>
      <c r="S27" t="s">
        <v>125</v>
      </c>
      <c r="T27">
        <v>367886</v>
      </c>
      <c r="U27">
        <v>0</v>
      </c>
      <c r="V27" t="s">
        <v>49</v>
      </c>
      <c r="W27" t="str">
        <f t="shared" si="1"/>
        <v xml:space="preserve">  </v>
      </c>
      <c r="Y27" t="str">
        <f>"GTX Construction Associate Corp"</f>
        <v>GTX Construction Associate Corp</v>
      </c>
      <c r="Z27" t="str">
        <f>"1-5166230840"</f>
        <v>1-5166230840</v>
      </c>
      <c r="AA27" t="str">
        <f t="shared" si="5"/>
        <v xml:space="preserve">  </v>
      </c>
      <c r="AB27" t="str">
        <f t="shared" si="5"/>
        <v xml:space="preserve">  </v>
      </c>
      <c r="AC27" t="str">
        <f>"FREEPORT"</f>
        <v>FREEPORT</v>
      </c>
      <c r="AD27" t="str">
        <f>"NY"</f>
        <v>NY</v>
      </c>
      <c r="AE27" t="str">
        <f>"11520"</f>
        <v>11520</v>
      </c>
      <c r="AG27" t="str">
        <f>"Region 1"</f>
        <v>Region 1</v>
      </c>
      <c r="AH27" t="str">
        <f>""</f>
        <v/>
      </c>
      <c r="AI27" t="str">
        <f>""</f>
        <v/>
      </c>
      <c r="AJ27" t="str">
        <f>""</f>
        <v/>
      </c>
      <c r="AK27" t="str">
        <f>""</f>
        <v/>
      </c>
    </row>
    <row r="28" spans="1:37" x14ac:dyDescent="0.35">
      <c r="A28">
        <v>26</v>
      </c>
      <c r="B28" t="str">
        <f t="shared" si="0"/>
        <v>186505354601832687</v>
      </c>
      <c r="C28">
        <v>1603921565</v>
      </c>
      <c r="D28" t="s">
        <v>38</v>
      </c>
      <c r="E28" t="s">
        <v>39</v>
      </c>
      <c r="F28" t="s">
        <v>40</v>
      </c>
      <c r="G28" t="s">
        <v>41</v>
      </c>
      <c r="H28" t="s">
        <v>42</v>
      </c>
      <c r="I28" t="s">
        <v>43</v>
      </c>
      <c r="J28" t="s">
        <v>63</v>
      </c>
      <c r="K28" t="s">
        <v>127</v>
      </c>
      <c r="L28" t="s">
        <v>128</v>
      </c>
      <c r="M28" t="s">
        <v>129</v>
      </c>
      <c r="N28" t="s">
        <v>49</v>
      </c>
      <c r="O28" t="s">
        <v>48</v>
      </c>
      <c r="P28" t="s">
        <v>48</v>
      </c>
      <c r="Q28" t="s">
        <v>78</v>
      </c>
      <c r="R28" t="s">
        <v>38</v>
      </c>
      <c r="S28" t="s">
        <v>130</v>
      </c>
      <c r="T28">
        <v>636714</v>
      </c>
      <c r="U28">
        <v>0</v>
      </c>
      <c r="V28" t="s">
        <v>49</v>
      </c>
      <c r="W28" t="str">
        <f t="shared" si="1"/>
        <v xml:space="preserve">  </v>
      </c>
      <c r="Y28" t="str">
        <f>"Mamais Construcion"</f>
        <v>Mamais Construcion</v>
      </c>
      <c r="Z28" t="str">
        <f>"1-6462566484"</f>
        <v>1-6462566484</v>
      </c>
      <c r="AA28" t="str">
        <f t="shared" si="5"/>
        <v xml:space="preserve">  </v>
      </c>
      <c r="AB28" t="str">
        <f t="shared" si="5"/>
        <v xml:space="preserve">  </v>
      </c>
      <c r="AC28" t="str">
        <f>"New York"</f>
        <v>New York</v>
      </c>
      <c r="AD28" t="str">
        <f>"NY"</f>
        <v>NY</v>
      </c>
      <c r="AE28" t="str">
        <f>"10027"</f>
        <v>10027</v>
      </c>
      <c r="AG28" t="str">
        <f>"Region 1;"</f>
        <v>Region 1;</v>
      </c>
      <c r="AH28" t="str">
        <f>"Is your firm a NYS-certified WBE?"</f>
        <v>Is your firm a NYS-certified WBE?</v>
      </c>
      <c r="AI28" t="str">
        <f>""</f>
        <v/>
      </c>
      <c r="AJ28" t="str">
        <f>""</f>
        <v/>
      </c>
      <c r="AK28" t="str">
        <f>""</f>
        <v/>
      </c>
    </row>
    <row r="29" spans="1:37" x14ac:dyDescent="0.35">
      <c r="A29">
        <v>27</v>
      </c>
      <c r="B29" t="str">
        <f t="shared" si="0"/>
        <v>186505354601832687</v>
      </c>
      <c r="C29">
        <v>1603921565</v>
      </c>
      <c r="D29" t="s">
        <v>38</v>
      </c>
      <c r="E29" t="s">
        <v>39</v>
      </c>
      <c r="F29" t="s">
        <v>40</v>
      </c>
      <c r="G29" t="s">
        <v>41</v>
      </c>
      <c r="H29" t="s">
        <v>42</v>
      </c>
      <c r="I29" t="s">
        <v>43</v>
      </c>
      <c r="J29" t="s">
        <v>63</v>
      </c>
      <c r="K29" t="s">
        <v>131</v>
      </c>
      <c r="L29" t="s">
        <v>132</v>
      </c>
      <c r="M29" t="s">
        <v>133</v>
      </c>
      <c r="N29" t="s">
        <v>49</v>
      </c>
      <c r="O29" t="s">
        <v>48</v>
      </c>
      <c r="P29" t="s">
        <v>48</v>
      </c>
      <c r="Q29" t="s">
        <v>103</v>
      </c>
      <c r="R29" t="s">
        <v>38</v>
      </c>
      <c r="S29" t="s">
        <v>134</v>
      </c>
      <c r="T29">
        <v>356771</v>
      </c>
      <c r="U29">
        <v>0</v>
      </c>
      <c r="V29" t="s">
        <v>49</v>
      </c>
      <c r="W29" t="str">
        <f t="shared" si="1"/>
        <v xml:space="preserve">  </v>
      </c>
      <c r="Y29" t="str">
        <f>"Cid Construction Services LLC"</f>
        <v>Cid Construction Services LLC</v>
      </c>
      <c r="Z29" t="str">
        <f>"1-2018880093"</f>
        <v>1-2018880093</v>
      </c>
      <c r="AA29" t="str">
        <f t="shared" ref="AA29:AB48" si="7">"  "</f>
        <v xml:space="preserve">  </v>
      </c>
      <c r="AB29" t="str">
        <f t="shared" si="7"/>
        <v xml:space="preserve">  </v>
      </c>
      <c r="AC29" t="str">
        <f>"Lodi"</f>
        <v>Lodi</v>
      </c>
      <c r="AD29" t="str">
        <f>"NJ"</f>
        <v>NJ</v>
      </c>
      <c r="AE29" t="str">
        <f>"07644"</f>
        <v>07644</v>
      </c>
      <c r="AG29" t="str">
        <f>"Asbestos"</f>
        <v>Asbestos</v>
      </c>
      <c r="AH29" t="str">
        <f>""</f>
        <v/>
      </c>
      <c r="AI29" t="str">
        <f>"Is your firm a NYS-certified MBE?"</f>
        <v>Is your firm a NYS-certified MBE?</v>
      </c>
      <c r="AJ29" t="str">
        <f>""</f>
        <v/>
      </c>
      <c r="AK29" t="str">
        <f>""</f>
        <v/>
      </c>
    </row>
    <row r="30" spans="1:37" x14ac:dyDescent="0.35">
      <c r="A30">
        <v>28</v>
      </c>
      <c r="B30" t="str">
        <f t="shared" si="0"/>
        <v>186505354601832687</v>
      </c>
      <c r="C30">
        <v>1603921565</v>
      </c>
      <c r="D30" t="s">
        <v>38</v>
      </c>
      <c r="E30" t="s">
        <v>39</v>
      </c>
      <c r="F30" t="s">
        <v>40</v>
      </c>
      <c r="G30" t="s">
        <v>41</v>
      </c>
      <c r="H30" t="s">
        <v>42</v>
      </c>
      <c r="I30" t="s">
        <v>43</v>
      </c>
      <c r="J30" t="s">
        <v>63</v>
      </c>
      <c r="K30" t="s">
        <v>135</v>
      </c>
      <c r="L30" t="s">
        <v>136</v>
      </c>
      <c r="M30" t="s">
        <v>137</v>
      </c>
      <c r="N30" t="s">
        <v>49</v>
      </c>
      <c r="O30" t="s">
        <v>48</v>
      </c>
      <c r="P30" t="s">
        <v>48</v>
      </c>
      <c r="Q30" t="s">
        <v>138</v>
      </c>
      <c r="R30" t="s">
        <v>38</v>
      </c>
      <c r="S30" t="s">
        <v>139</v>
      </c>
      <c r="T30">
        <v>277374</v>
      </c>
      <c r="U30">
        <v>0</v>
      </c>
      <c r="V30" t="s">
        <v>49</v>
      </c>
      <c r="W30" t="str">
        <f t="shared" si="1"/>
        <v xml:space="preserve">  </v>
      </c>
      <c r="Y30" t="str">
        <f>"KB Engineering &amp; Consulting, PLLC"</f>
        <v>KB Engineering &amp; Consulting, PLLC</v>
      </c>
      <c r="Z30" t="str">
        <f>"1-5182800046"</f>
        <v>1-5182800046</v>
      </c>
      <c r="AA30" t="str">
        <f t="shared" si="7"/>
        <v xml:space="preserve">  </v>
      </c>
      <c r="AB30" t="str">
        <f t="shared" si="7"/>
        <v xml:space="preserve">  </v>
      </c>
      <c r="AC30" t="str">
        <f>"BURNT HILLS"</f>
        <v>BURNT HILLS</v>
      </c>
      <c r="AD30" t="str">
        <f>"NY"</f>
        <v>NY</v>
      </c>
      <c r="AE30" t="str">
        <f>"12027"</f>
        <v>12027</v>
      </c>
      <c r="AG30" t="str">
        <f>"Construction projects requiring SWPPP inspections"</f>
        <v>Construction projects requiring SWPPP inspections</v>
      </c>
      <c r="AH30" t="str">
        <f>""</f>
        <v/>
      </c>
      <c r="AI30" t="str">
        <f>""</f>
        <v/>
      </c>
      <c r="AJ30" t="str">
        <f>"Is your firm a NYS-certified SVDOB?"</f>
        <v>Is your firm a NYS-certified SVDOB?</v>
      </c>
      <c r="AK30" t="str">
        <f>""</f>
        <v/>
      </c>
    </row>
    <row r="31" spans="1:37" x14ac:dyDescent="0.35">
      <c r="A31">
        <v>29</v>
      </c>
      <c r="B31" t="str">
        <f t="shared" si="0"/>
        <v>186505354601832687</v>
      </c>
      <c r="C31">
        <v>1603921565</v>
      </c>
      <c r="D31" t="s">
        <v>38</v>
      </c>
      <c r="E31" t="s">
        <v>39</v>
      </c>
      <c r="F31" t="s">
        <v>40</v>
      </c>
      <c r="G31" t="s">
        <v>41</v>
      </c>
      <c r="H31" t="s">
        <v>42</v>
      </c>
      <c r="I31" t="s">
        <v>43</v>
      </c>
      <c r="J31" t="s">
        <v>63</v>
      </c>
      <c r="K31" t="s">
        <v>140</v>
      </c>
      <c r="L31" t="s">
        <v>141</v>
      </c>
      <c r="M31" t="s">
        <v>142</v>
      </c>
      <c r="N31" t="s">
        <v>49</v>
      </c>
      <c r="O31" t="s">
        <v>48</v>
      </c>
      <c r="P31" t="s">
        <v>48</v>
      </c>
      <c r="Q31" t="s">
        <v>41</v>
      </c>
      <c r="R31" t="s">
        <v>38</v>
      </c>
      <c r="S31" t="s">
        <v>143</v>
      </c>
      <c r="T31">
        <v>640135</v>
      </c>
      <c r="U31">
        <v>0</v>
      </c>
      <c r="V31" t="s">
        <v>49</v>
      </c>
      <c r="W31" t="str">
        <f t="shared" si="1"/>
        <v xml:space="preserve">  </v>
      </c>
      <c r="Y31" t="str">
        <f>"D Handy Inc."</f>
        <v>D Handy Inc.</v>
      </c>
      <c r="Z31" t="str">
        <f>"1-7184743500"</f>
        <v>1-7184743500</v>
      </c>
      <c r="AA31" t="str">
        <f t="shared" si="7"/>
        <v xml:space="preserve">  </v>
      </c>
      <c r="AB31" t="str">
        <f t="shared" si="7"/>
        <v xml:space="preserve">  </v>
      </c>
      <c r="AC31" t="str">
        <f>"BROAD CHANNEL"</f>
        <v>BROAD CHANNEL</v>
      </c>
      <c r="AD31" t="str">
        <f>"NY"</f>
        <v>NY</v>
      </c>
      <c r="AE31" t="str">
        <f>"116931122"</f>
        <v>116931122</v>
      </c>
      <c r="AG31" t="str">
        <f>"Notice of DASNY $20m general contractor JOCs RFP - for MWBE/SDVOB/SBE only"</f>
        <v>Notice of DASNY $20m general contractor JOCs RFP - for MWBE/SDVOB/SBE only</v>
      </c>
      <c r="AH31" t="str">
        <f>""</f>
        <v/>
      </c>
      <c r="AI31" t="str">
        <f>"Is your firm a NYS-certified MBE?"</f>
        <v>Is your firm a NYS-certified MBE?</v>
      </c>
      <c r="AJ31" t="str">
        <f>""</f>
        <v/>
      </c>
      <c r="AK31" t="str">
        <f>""</f>
        <v/>
      </c>
    </row>
    <row r="32" spans="1:37" x14ac:dyDescent="0.35">
      <c r="A32">
        <v>30</v>
      </c>
      <c r="B32" t="str">
        <f t="shared" si="0"/>
        <v>186505354601832687</v>
      </c>
      <c r="C32">
        <v>1603921565</v>
      </c>
      <c r="D32" t="s">
        <v>38</v>
      </c>
      <c r="E32" t="s">
        <v>39</v>
      </c>
      <c r="F32" t="s">
        <v>40</v>
      </c>
      <c r="G32" t="s">
        <v>41</v>
      </c>
      <c r="H32" t="s">
        <v>42</v>
      </c>
      <c r="I32" t="s">
        <v>43</v>
      </c>
      <c r="J32" t="s">
        <v>63</v>
      </c>
      <c r="K32" t="s">
        <v>144</v>
      </c>
      <c r="L32" t="s">
        <v>145</v>
      </c>
      <c r="M32" t="s">
        <v>146</v>
      </c>
      <c r="N32" t="s">
        <v>49</v>
      </c>
      <c r="O32" t="s">
        <v>49</v>
      </c>
      <c r="P32" t="s">
        <v>48</v>
      </c>
      <c r="Q32" t="s">
        <v>147</v>
      </c>
      <c r="R32" t="s">
        <v>38</v>
      </c>
      <c r="T32">
        <v>0</v>
      </c>
      <c r="V32" t="s">
        <v>49</v>
      </c>
      <c r="W32" t="str">
        <f t="shared" si="1"/>
        <v xml:space="preserve">  </v>
      </c>
      <c r="Y32" t="str">
        <f>"  "</f>
        <v xml:space="preserve">  </v>
      </c>
      <c r="Z32" t="str">
        <f>"1-"</f>
        <v>1-</v>
      </c>
      <c r="AA32" t="str">
        <f t="shared" si="7"/>
        <v xml:space="preserve">  </v>
      </c>
      <c r="AB32" t="str">
        <f t="shared" si="7"/>
        <v xml:space="preserve">  </v>
      </c>
      <c r="AC32" t="str">
        <f>"  "</f>
        <v xml:space="preserve">  </v>
      </c>
      <c r="AD32" t="str">
        <f>"  "</f>
        <v xml:space="preserve">  </v>
      </c>
      <c r="AE32" t="str">
        <f>"  "</f>
        <v xml:space="preserve">  </v>
      </c>
      <c r="AG32" t="str">
        <f>""</f>
        <v/>
      </c>
      <c r="AH32" t="str">
        <f>""</f>
        <v/>
      </c>
      <c r="AI32" t="str">
        <f>""</f>
        <v/>
      </c>
      <c r="AJ32" t="str">
        <f>""</f>
        <v/>
      </c>
      <c r="AK32" t="str">
        <f>""</f>
        <v/>
      </c>
    </row>
    <row r="33" spans="1:37" x14ac:dyDescent="0.35">
      <c r="A33">
        <v>31</v>
      </c>
      <c r="B33" t="str">
        <f t="shared" si="0"/>
        <v>186505354601832687</v>
      </c>
      <c r="C33">
        <v>1603921565</v>
      </c>
      <c r="D33" t="s">
        <v>38</v>
      </c>
      <c r="E33" t="s">
        <v>39</v>
      </c>
      <c r="F33" t="s">
        <v>40</v>
      </c>
      <c r="G33" t="s">
        <v>41</v>
      </c>
      <c r="H33" t="s">
        <v>42</v>
      </c>
      <c r="I33" t="s">
        <v>43</v>
      </c>
      <c r="J33" t="s">
        <v>63</v>
      </c>
      <c r="K33" t="s">
        <v>148</v>
      </c>
      <c r="L33" t="s">
        <v>149</v>
      </c>
      <c r="M33" t="s">
        <v>150</v>
      </c>
      <c r="N33" t="s">
        <v>49</v>
      </c>
      <c r="O33" t="s">
        <v>48</v>
      </c>
      <c r="P33" t="s">
        <v>48</v>
      </c>
      <c r="Q33" t="s">
        <v>41</v>
      </c>
      <c r="R33" t="s">
        <v>38</v>
      </c>
      <c r="S33" t="s">
        <v>92</v>
      </c>
      <c r="T33">
        <v>302027</v>
      </c>
      <c r="U33">
        <v>0</v>
      </c>
      <c r="V33" t="s">
        <v>49</v>
      </c>
      <c r="W33" t="str">
        <f t="shared" si="1"/>
        <v xml:space="preserve">  </v>
      </c>
      <c r="Y33" t="str">
        <f>"ATCO Contracting"</f>
        <v>ATCO Contracting</v>
      </c>
      <c r="Z33" t="str">
        <f>"1-7186061076"</f>
        <v>1-7186061076</v>
      </c>
      <c r="AA33" t="str">
        <f t="shared" si="7"/>
        <v xml:space="preserve">  </v>
      </c>
      <c r="AB33" t="str">
        <f t="shared" si="7"/>
        <v xml:space="preserve">  </v>
      </c>
      <c r="AC33" t="str">
        <f>"Long Island City"</f>
        <v>Long Island City</v>
      </c>
      <c r="AD33" t="str">
        <f>"NY"</f>
        <v>NY</v>
      </c>
      <c r="AE33" t="str">
        <f>"11106"</f>
        <v>11106</v>
      </c>
      <c r="AG33" t="str">
        <f>"CR516"</f>
        <v>CR516</v>
      </c>
      <c r="AH33" t="str">
        <f>"Is your firm a NYS-certified WBE?"</f>
        <v>Is your firm a NYS-certified WBE?</v>
      </c>
      <c r="AI33" t="str">
        <f>""</f>
        <v/>
      </c>
      <c r="AJ33" t="str">
        <f>""</f>
        <v/>
      </c>
      <c r="AK33" t="str">
        <f>""</f>
        <v/>
      </c>
    </row>
    <row r="34" spans="1:37" x14ac:dyDescent="0.35">
      <c r="A34">
        <v>32</v>
      </c>
      <c r="B34" t="str">
        <f t="shared" si="0"/>
        <v>186505354601832687</v>
      </c>
      <c r="C34">
        <v>1603921565</v>
      </c>
      <c r="D34" t="s">
        <v>38</v>
      </c>
      <c r="E34" t="s">
        <v>39</v>
      </c>
      <c r="F34" t="s">
        <v>40</v>
      </c>
      <c r="G34" t="s">
        <v>41</v>
      </c>
      <c r="H34" t="s">
        <v>42</v>
      </c>
      <c r="I34" t="s">
        <v>43</v>
      </c>
      <c r="J34" t="s">
        <v>63</v>
      </c>
      <c r="K34" t="s">
        <v>151</v>
      </c>
      <c r="L34" t="s">
        <v>152</v>
      </c>
      <c r="M34" t="s">
        <v>153</v>
      </c>
      <c r="N34" t="s">
        <v>49</v>
      </c>
      <c r="O34" t="s">
        <v>48</v>
      </c>
      <c r="P34" t="s">
        <v>48</v>
      </c>
      <c r="Q34" t="s">
        <v>154</v>
      </c>
      <c r="R34" t="s">
        <v>38</v>
      </c>
      <c r="S34" t="s">
        <v>155</v>
      </c>
      <c r="T34">
        <v>542488</v>
      </c>
      <c r="U34">
        <v>0</v>
      </c>
      <c r="V34" t="s">
        <v>49</v>
      </c>
      <c r="W34" t="str">
        <f t="shared" si="1"/>
        <v xml:space="preserve">  </v>
      </c>
      <c r="Y34" t="str">
        <f>"Zena Electric Inc"</f>
        <v>Zena Electric Inc</v>
      </c>
      <c r="Z34" t="str">
        <f>"1-718 841 7838"</f>
        <v>1-718 841 7838</v>
      </c>
      <c r="AA34" t="str">
        <f t="shared" si="7"/>
        <v xml:space="preserve">  </v>
      </c>
      <c r="AB34" t="str">
        <f t="shared" si="7"/>
        <v xml:space="preserve">  </v>
      </c>
      <c r="AC34" t="str">
        <f>"Brooklyn"</f>
        <v>Brooklyn</v>
      </c>
      <c r="AD34" t="str">
        <f>"New York"</f>
        <v>New York</v>
      </c>
      <c r="AE34" t="str">
        <f>"11206"</f>
        <v>11206</v>
      </c>
      <c r="AG34" t="str">
        <f>"Zone 1"</f>
        <v>Zone 1</v>
      </c>
      <c r="AH34" t="str">
        <f>""</f>
        <v/>
      </c>
      <c r="AI34" t="str">
        <f>""</f>
        <v/>
      </c>
      <c r="AJ34" t="str">
        <f>""</f>
        <v/>
      </c>
      <c r="AK34" t="str">
        <f>""</f>
        <v/>
      </c>
    </row>
    <row r="35" spans="1:37" x14ac:dyDescent="0.35">
      <c r="A35">
        <v>33</v>
      </c>
      <c r="B35" t="str">
        <f t="shared" ref="B35:B66" si="8">"186505354601832687"</f>
        <v>186505354601832687</v>
      </c>
      <c r="C35">
        <v>1603921565</v>
      </c>
      <c r="D35" t="s">
        <v>38</v>
      </c>
      <c r="E35" t="s">
        <v>39</v>
      </c>
      <c r="F35" t="s">
        <v>40</v>
      </c>
      <c r="G35" t="s">
        <v>41</v>
      </c>
      <c r="H35" t="s">
        <v>42</v>
      </c>
      <c r="I35" t="s">
        <v>43</v>
      </c>
      <c r="J35" t="s">
        <v>63</v>
      </c>
      <c r="K35" t="s">
        <v>156</v>
      </c>
      <c r="L35" t="s">
        <v>157</v>
      </c>
      <c r="M35" t="s">
        <v>158</v>
      </c>
      <c r="N35" t="s">
        <v>49</v>
      </c>
      <c r="O35" t="s">
        <v>48</v>
      </c>
      <c r="P35" t="s">
        <v>48</v>
      </c>
      <c r="Q35" t="s">
        <v>159</v>
      </c>
      <c r="R35" t="s">
        <v>38</v>
      </c>
      <c r="S35" t="s">
        <v>160</v>
      </c>
      <c r="T35">
        <v>273516</v>
      </c>
      <c r="U35">
        <v>0</v>
      </c>
      <c r="V35" t="s">
        <v>49</v>
      </c>
      <c r="W35" t="str">
        <f t="shared" ref="W35:W66" si="9">"  "</f>
        <v xml:space="preserve">  </v>
      </c>
      <c r="Y35" t="str">
        <f>"Wilkins Mechanical Inc."</f>
        <v>Wilkins Mechanical Inc.</v>
      </c>
      <c r="Z35" t="str">
        <f>"1-3156382400"</f>
        <v>1-3156382400</v>
      </c>
      <c r="AA35" t="str">
        <f t="shared" si="7"/>
        <v xml:space="preserve">  </v>
      </c>
      <c r="AB35" t="str">
        <f t="shared" si="7"/>
        <v xml:space="preserve">  </v>
      </c>
      <c r="AC35" t="str">
        <f>"Syracuse"</f>
        <v>Syracuse</v>
      </c>
      <c r="AD35" t="str">
        <f>"NY"</f>
        <v>NY</v>
      </c>
      <c r="AE35" t="str">
        <f>"13209"</f>
        <v>13209</v>
      </c>
      <c r="AG35" t="str">
        <f>"CR523 Plumbing"</f>
        <v>CR523 Plumbing</v>
      </c>
      <c r="AH35" t="str">
        <f>"Is your firm a NYS-certified WBE?"</f>
        <v>Is your firm a NYS-certified WBE?</v>
      </c>
      <c r="AI35" t="str">
        <f>""</f>
        <v/>
      </c>
      <c r="AJ35" t="str">
        <f>""</f>
        <v/>
      </c>
      <c r="AK35" t="str">
        <f>""</f>
        <v/>
      </c>
    </row>
    <row r="36" spans="1:37" x14ac:dyDescent="0.35">
      <c r="A36">
        <v>34</v>
      </c>
      <c r="B36" t="str">
        <f t="shared" si="8"/>
        <v>186505354601832687</v>
      </c>
      <c r="C36">
        <v>1603921565</v>
      </c>
      <c r="D36" t="s">
        <v>38</v>
      </c>
      <c r="E36" t="s">
        <v>39</v>
      </c>
      <c r="F36" t="s">
        <v>40</v>
      </c>
      <c r="G36" t="s">
        <v>41</v>
      </c>
      <c r="H36" t="s">
        <v>42</v>
      </c>
      <c r="I36" t="s">
        <v>43</v>
      </c>
      <c r="J36" t="s">
        <v>63</v>
      </c>
      <c r="K36" t="s">
        <v>161</v>
      </c>
      <c r="L36" t="s">
        <v>162</v>
      </c>
      <c r="M36" t="s">
        <v>163</v>
      </c>
      <c r="N36" t="s">
        <v>49</v>
      </c>
      <c r="O36" t="s">
        <v>48</v>
      </c>
      <c r="P36" t="s">
        <v>48</v>
      </c>
      <c r="Q36" t="s">
        <v>164</v>
      </c>
      <c r="R36" t="s">
        <v>38</v>
      </c>
      <c r="S36" t="s">
        <v>165</v>
      </c>
      <c r="T36">
        <v>179827</v>
      </c>
      <c r="U36">
        <v>0</v>
      </c>
      <c r="V36" t="s">
        <v>49</v>
      </c>
      <c r="W36" t="str">
        <f t="shared" si="9"/>
        <v xml:space="preserve">  </v>
      </c>
      <c r="Y36" t="str">
        <f>"D &amp; S Restoration, Inc."</f>
        <v>D &amp; S Restoration, Inc.</v>
      </c>
      <c r="Z36" t="str">
        <f>"1-9733458020"</f>
        <v>1-9733458020</v>
      </c>
      <c r="AA36" t="str">
        <f t="shared" si="7"/>
        <v xml:space="preserve">  </v>
      </c>
      <c r="AB36" t="str">
        <f t="shared" si="7"/>
        <v xml:space="preserve">  </v>
      </c>
      <c r="AC36" t="str">
        <f>"Paterson"</f>
        <v>Paterson</v>
      </c>
      <c r="AD36" t="str">
        <f>"NJ"</f>
        <v>NJ</v>
      </c>
      <c r="AE36" t="str">
        <f>"07503"</f>
        <v>07503</v>
      </c>
      <c r="AG36" t="str">
        <f>"General Construction"</f>
        <v>General Construction</v>
      </c>
      <c r="AH36" t="str">
        <f>""</f>
        <v/>
      </c>
      <c r="AI36" t="str">
        <f>""</f>
        <v/>
      </c>
      <c r="AJ36" t="str">
        <f>""</f>
        <v/>
      </c>
      <c r="AK36" t="str">
        <f>""</f>
        <v/>
      </c>
    </row>
    <row r="37" spans="1:37" x14ac:dyDescent="0.35">
      <c r="A37">
        <v>35</v>
      </c>
      <c r="B37" t="str">
        <f t="shared" si="8"/>
        <v>186505354601832687</v>
      </c>
      <c r="C37">
        <v>1603921565</v>
      </c>
      <c r="D37" t="s">
        <v>38</v>
      </c>
      <c r="E37" t="s">
        <v>39</v>
      </c>
      <c r="F37" t="s">
        <v>40</v>
      </c>
      <c r="G37" t="s">
        <v>41</v>
      </c>
      <c r="H37" t="s">
        <v>42</v>
      </c>
      <c r="I37" t="s">
        <v>43</v>
      </c>
      <c r="J37" t="s">
        <v>63</v>
      </c>
      <c r="K37" t="s">
        <v>166</v>
      </c>
      <c r="L37" t="s">
        <v>167</v>
      </c>
      <c r="M37" t="s">
        <v>168</v>
      </c>
      <c r="N37" t="s">
        <v>49</v>
      </c>
      <c r="O37" t="s">
        <v>48</v>
      </c>
      <c r="P37" t="s">
        <v>48</v>
      </c>
      <c r="Q37" t="s">
        <v>138</v>
      </c>
      <c r="R37" t="s">
        <v>38</v>
      </c>
      <c r="S37" t="s">
        <v>169</v>
      </c>
      <c r="T37">
        <v>125775</v>
      </c>
      <c r="U37">
        <v>0</v>
      </c>
      <c r="V37" t="s">
        <v>49</v>
      </c>
      <c r="W37" t="str">
        <f t="shared" si="9"/>
        <v xml:space="preserve">  </v>
      </c>
      <c r="Y37" t="str">
        <f>"EIA Electric Inc."</f>
        <v>EIA Electric Inc.</v>
      </c>
      <c r="Z37" t="str">
        <f>"1-6466273696"</f>
        <v>1-6466273696</v>
      </c>
      <c r="AA37" t="str">
        <f t="shared" si="7"/>
        <v xml:space="preserve">  </v>
      </c>
      <c r="AB37" t="str">
        <f t="shared" si="7"/>
        <v xml:space="preserve">  </v>
      </c>
      <c r="AC37" t="str">
        <f>"Long Island City"</f>
        <v>Long Island City</v>
      </c>
      <c r="AD37" t="str">
        <f>"NY"</f>
        <v>NY</v>
      </c>
      <c r="AE37" t="str">
        <f>"11101"</f>
        <v>11101</v>
      </c>
      <c r="AG37" t="str">
        <f>"Electrical JOCs"</f>
        <v>Electrical JOCs</v>
      </c>
      <c r="AH37" t="str">
        <f>""</f>
        <v/>
      </c>
      <c r="AI37" t="str">
        <f>""</f>
        <v/>
      </c>
      <c r="AJ37" t="str">
        <f>""</f>
        <v/>
      </c>
      <c r="AK37" t="str">
        <f>""</f>
        <v/>
      </c>
    </row>
    <row r="38" spans="1:37" x14ac:dyDescent="0.35">
      <c r="A38">
        <v>36</v>
      </c>
      <c r="B38" t="str">
        <f t="shared" si="8"/>
        <v>186505354601832687</v>
      </c>
      <c r="C38">
        <v>1603921565</v>
      </c>
      <c r="D38" t="s">
        <v>38</v>
      </c>
      <c r="E38" t="s">
        <v>39</v>
      </c>
      <c r="F38" t="s">
        <v>40</v>
      </c>
      <c r="G38" t="s">
        <v>41</v>
      </c>
      <c r="H38" t="s">
        <v>42</v>
      </c>
      <c r="I38" t="s">
        <v>43</v>
      </c>
      <c r="J38" t="s">
        <v>63</v>
      </c>
      <c r="K38" t="s">
        <v>170</v>
      </c>
      <c r="L38" t="s">
        <v>171</v>
      </c>
      <c r="M38" t="s">
        <v>172</v>
      </c>
      <c r="N38" t="s">
        <v>49</v>
      </c>
      <c r="O38" t="s">
        <v>48</v>
      </c>
      <c r="P38" t="s">
        <v>48</v>
      </c>
      <c r="Q38" t="s">
        <v>173</v>
      </c>
      <c r="R38" t="s">
        <v>38</v>
      </c>
      <c r="S38" t="s">
        <v>174</v>
      </c>
      <c r="T38">
        <v>562767</v>
      </c>
      <c r="U38">
        <v>0</v>
      </c>
      <c r="V38" t="s">
        <v>49</v>
      </c>
      <c r="W38" t="str">
        <f t="shared" si="9"/>
        <v xml:space="preserve">  </v>
      </c>
      <c r="Y38" t="str">
        <f>"B&amp;T Construction Logistics"</f>
        <v>B&amp;T Construction Logistics</v>
      </c>
      <c r="Z38" t="str">
        <f>"1-845-705-7159"</f>
        <v>1-845-705-7159</v>
      </c>
      <c r="AA38" t="str">
        <f t="shared" si="7"/>
        <v xml:space="preserve">  </v>
      </c>
      <c r="AB38" t="str">
        <f t="shared" si="7"/>
        <v xml:space="preserve">  </v>
      </c>
      <c r="AC38" t="str">
        <f>"Poughkeepsie"</f>
        <v>Poughkeepsie</v>
      </c>
      <c r="AD38" t="str">
        <f>"New York"</f>
        <v>New York</v>
      </c>
      <c r="AE38" t="str">
        <f>"12603"</f>
        <v>12603</v>
      </c>
      <c r="AG38" t="str">
        <f>"1000509999/CR513, 515, 520, 521, 522, 523 and 524"</f>
        <v>1000509999/CR513, 515, 520, 521, 522, 523 and 524</v>
      </c>
      <c r="AH38" t="str">
        <f>""</f>
        <v/>
      </c>
      <c r="AI38" t="str">
        <f>""</f>
        <v/>
      </c>
      <c r="AJ38" t="str">
        <f>"Is your firm a NYS-certified SVDOB?"</f>
        <v>Is your firm a NYS-certified SVDOB?</v>
      </c>
      <c r="AK38" t="str">
        <f>""</f>
        <v/>
      </c>
    </row>
    <row r="39" spans="1:37" x14ac:dyDescent="0.35">
      <c r="A39">
        <v>37</v>
      </c>
      <c r="B39" t="str">
        <f t="shared" si="8"/>
        <v>186505354601832687</v>
      </c>
      <c r="C39">
        <v>1603921565</v>
      </c>
      <c r="D39" t="s">
        <v>38</v>
      </c>
      <c r="E39" t="s">
        <v>39</v>
      </c>
      <c r="F39" t="s">
        <v>40</v>
      </c>
      <c r="G39" t="s">
        <v>41</v>
      </c>
      <c r="H39" t="s">
        <v>42</v>
      </c>
      <c r="I39" t="s">
        <v>43</v>
      </c>
      <c r="J39" t="s">
        <v>63</v>
      </c>
      <c r="K39" t="s">
        <v>175</v>
      </c>
      <c r="L39" t="s">
        <v>176</v>
      </c>
      <c r="M39" t="s">
        <v>177</v>
      </c>
      <c r="N39" t="s">
        <v>49</v>
      </c>
      <c r="O39" t="s">
        <v>48</v>
      </c>
      <c r="P39" t="s">
        <v>48</v>
      </c>
      <c r="Q39" t="s">
        <v>178</v>
      </c>
      <c r="R39" t="s">
        <v>38</v>
      </c>
      <c r="S39" t="s">
        <v>179</v>
      </c>
      <c r="T39">
        <v>442268</v>
      </c>
      <c r="U39">
        <v>0</v>
      </c>
      <c r="V39" t="s">
        <v>49</v>
      </c>
      <c r="W39" t="str">
        <f t="shared" si="9"/>
        <v xml:space="preserve">  </v>
      </c>
      <c r="Y39" t="str">
        <f>"SEC ELECTRICAL CONSTRUCTION"</f>
        <v>SEC ELECTRICAL CONSTRUCTION</v>
      </c>
      <c r="Z39" t="str">
        <f>"1-7167684032"</f>
        <v>1-7167684032</v>
      </c>
      <c r="AA39" t="str">
        <f t="shared" si="7"/>
        <v xml:space="preserve">  </v>
      </c>
      <c r="AB39" t="str">
        <f t="shared" si="7"/>
        <v xml:space="preserve">  </v>
      </c>
      <c r="AC39" t="str">
        <f>"AMHERST"</f>
        <v>AMHERST</v>
      </c>
      <c r="AD39" t="str">
        <f>"New York"</f>
        <v>New York</v>
      </c>
      <c r="AE39" t="str">
        <f>"14226-4141"</f>
        <v>14226-4141</v>
      </c>
      <c r="AG39" t="str">
        <f>"ELECTRICAL"</f>
        <v>ELECTRICAL</v>
      </c>
      <c r="AH39" t="str">
        <f>""</f>
        <v/>
      </c>
      <c r="AI39" t="str">
        <f t="shared" ref="AI39:AI45" si="10">"Is your firm a NYS-certified MBE?"</f>
        <v>Is your firm a NYS-certified MBE?</v>
      </c>
      <c r="AJ39" t="str">
        <f>""</f>
        <v/>
      </c>
      <c r="AK39" t="str">
        <f>""</f>
        <v/>
      </c>
    </row>
    <row r="40" spans="1:37" x14ac:dyDescent="0.35">
      <c r="A40">
        <v>38</v>
      </c>
      <c r="B40" t="str">
        <f t="shared" si="8"/>
        <v>186505354601832687</v>
      </c>
      <c r="C40">
        <v>1603921565</v>
      </c>
      <c r="D40" t="s">
        <v>38</v>
      </c>
      <c r="E40" t="s">
        <v>39</v>
      </c>
      <c r="F40" t="s">
        <v>40</v>
      </c>
      <c r="G40" t="s">
        <v>41</v>
      </c>
      <c r="H40" t="s">
        <v>42</v>
      </c>
      <c r="I40" t="s">
        <v>43</v>
      </c>
      <c r="J40" t="s">
        <v>63</v>
      </c>
      <c r="K40" t="s">
        <v>180</v>
      </c>
      <c r="L40" t="s">
        <v>181</v>
      </c>
      <c r="M40" t="s">
        <v>182</v>
      </c>
      <c r="N40" t="s">
        <v>49</v>
      </c>
      <c r="O40" t="s">
        <v>48</v>
      </c>
      <c r="P40" t="s">
        <v>48</v>
      </c>
      <c r="Q40" t="s">
        <v>183</v>
      </c>
      <c r="R40" t="s">
        <v>38</v>
      </c>
      <c r="S40" t="s">
        <v>184</v>
      </c>
      <c r="T40">
        <v>812579</v>
      </c>
      <c r="U40">
        <v>0</v>
      </c>
      <c r="V40" t="s">
        <v>49</v>
      </c>
      <c r="W40" t="str">
        <f t="shared" si="9"/>
        <v xml:space="preserve">  </v>
      </c>
      <c r="Y40" t="str">
        <f t="shared" ref="Y40:Y45" si="11">"Hibuild LLC"</f>
        <v>Hibuild LLC</v>
      </c>
      <c r="Z40" t="str">
        <f t="shared" ref="Z40:Z45" si="12">"1-7324892326"</f>
        <v>1-7324892326</v>
      </c>
      <c r="AA40" t="str">
        <f t="shared" si="7"/>
        <v xml:space="preserve">  </v>
      </c>
      <c r="AB40" t="str">
        <f t="shared" si="7"/>
        <v xml:space="preserve">  </v>
      </c>
      <c r="AC40" t="str">
        <f t="shared" ref="AC40:AC45" si="13">"Branchburg"</f>
        <v>Branchburg</v>
      </c>
      <c r="AD40" t="str">
        <f t="shared" ref="AD40:AD45" si="14">"NJ"</f>
        <v>NJ</v>
      </c>
      <c r="AE40" t="str">
        <f t="shared" ref="AE40:AE45" si="15">"08805"</f>
        <v>08805</v>
      </c>
      <c r="AG40" t="str">
        <f t="shared" ref="AG40:AG45" si="16">"GC Region 1- CR514"</f>
        <v>GC Region 1- CR514</v>
      </c>
      <c r="AH40" t="str">
        <f>""</f>
        <v/>
      </c>
      <c r="AI40" t="str">
        <f t="shared" si="10"/>
        <v>Is your firm a NYS-certified MBE?</v>
      </c>
      <c r="AJ40" t="str">
        <f>""</f>
        <v/>
      </c>
      <c r="AK40" t="str">
        <f>""</f>
        <v/>
      </c>
    </row>
    <row r="41" spans="1:37" x14ac:dyDescent="0.35">
      <c r="A41">
        <v>39</v>
      </c>
      <c r="B41" t="str">
        <f t="shared" si="8"/>
        <v>186505354601832687</v>
      </c>
      <c r="C41">
        <v>1603921565</v>
      </c>
      <c r="D41" t="s">
        <v>38</v>
      </c>
      <c r="E41" t="s">
        <v>39</v>
      </c>
      <c r="F41" t="s">
        <v>40</v>
      </c>
      <c r="G41" t="s">
        <v>41</v>
      </c>
      <c r="H41" t="s">
        <v>42</v>
      </c>
      <c r="I41" t="s">
        <v>43</v>
      </c>
      <c r="J41" t="s">
        <v>63</v>
      </c>
      <c r="K41" t="s">
        <v>180</v>
      </c>
      <c r="L41" t="s">
        <v>181</v>
      </c>
      <c r="M41" t="s">
        <v>182</v>
      </c>
      <c r="N41" t="s">
        <v>49</v>
      </c>
      <c r="O41" t="s">
        <v>48</v>
      </c>
      <c r="P41" t="s">
        <v>48</v>
      </c>
      <c r="Q41" t="s">
        <v>185</v>
      </c>
      <c r="R41" t="s">
        <v>38</v>
      </c>
      <c r="S41" t="s">
        <v>184</v>
      </c>
      <c r="T41">
        <v>812579</v>
      </c>
      <c r="U41">
        <v>0</v>
      </c>
      <c r="V41" t="s">
        <v>49</v>
      </c>
      <c r="W41" t="str">
        <f t="shared" si="9"/>
        <v xml:space="preserve">  </v>
      </c>
      <c r="Y41" t="str">
        <f t="shared" si="11"/>
        <v>Hibuild LLC</v>
      </c>
      <c r="Z41" t="str">
        <f t="shared" si="12"/>
        <v>1-7324892326</v>
      </c>
      <c r="AA41" t="str">
        <f t="shared" si="7"/>
        <v xml:space="preserve">  </v>
      </c>
      <c r="AB41" t="str">
        <f t="shared" si="7"/>
        <v xml:space="preserve">  </v>
      </c>
      <c r="AC41" t="str">
        <f t="shared" si="13"/>
        <v>Branchburg</v>
      </c>
      <c r="AD41" t="str">
        <f t="shared" si="14"/>
        <v>NJ</v>
      </c>
      <c r="AE41" t="str">
        <f t="shared" si="15"/>
        <v>08805</v>
      </c>
      <c r="AG41" t="str">
        <f t="shared" si="16"/>
        <v>GC Region 1- CR514</v>
      </c>
      <c r="AH41" t="str">
        <f>""</f>
        <v/>
      </c>
      <c r="AI41" t="str">
        <f t="shared" si="10"/>
        <v>Is your firm a NYS-certified MBE?</v>
      </c>
      <c r="AJ41" t="str">
        <f>""</f>
        <v/>
      </c>
      <c r="AK41" t="str">
        <f>""</f>
        <v/>
      </c>
    </row>
    <row r="42" spans="1:37" x14ac:dyDescent="0.35">
      <c r="A42">
        <v>40</v>
      </c>
      <c r="B42" t="str">
        <f t="shared" si="8"/>
        <v>186505354601832687</v>
      </c>
      <c r="C42">
        <v>1603921565</v>
      </c>
      <c r="D42" t="s">
        <v>38</v>
      </c>
      <c r="E42" t="s">
        <v>39</v>
      </c>
      <c r="F42" t="s">
        <v>40</v>
      </c>
      <c r="G42" t="s">
        <v>41</v>
      </c>
      <c r="H42" t="s">
        <v>42</v>
      </c>
      <c r="I42" t="s">
        <v>43</v>
      </c>
      <c r="J42" t="s">
        <v>63</v>
      </c>
      <c r="K42" t="s">
        <v>180</v>
      </c>
      <c r="L42" t="s">
        <v>181</v>
      </c>
      <c r="M42" t="s">
        <v>182</v>
      </c>
      <c r="N42" t="s">
        <v>49</v>
      </c>
      <c r="O42" t="s">
        <v>48</v>
      </c>
      <c r="P42" t="s">
        <v>48</v>
      </c>
      <c r="Q42" t="s">
        <v>186</v>
      </c>
      <c r="R42" t="s">
        <v>38</v>
      </c>
      <c r="S42" t="s">
        <v>184</v>
      </c>
      <c r="T42">
        <v>812579</v>
      </c>
      <c r="U42">
        <v>0</v>
      </c>
      <c r="V42" t="s">
        <v>49</v>
      </c>
      <c r="W42" t="str">
        <f t="shared" si="9"/>
        <v xml:space="preserve">  </v>
      </c>
      <c r="Y42" t="str">
        <f t="shared" si="11"/>
        <v>Hibuild LLC</v>
      </c>
      <c r="Z42" t="str">
        <f t="shared" si="12"/>
        <v>1-7324892326</v>
      </c>
      <c r="AA42" t="str">
        <f t="shared" si="7"/>
        <v xml:space="preserve">  </v>
      </c>
      <c r="AB42" t="str">
        <f t="shared" si="7"/>
        <v xml:space="preserve">  </v>
      </c>
      <c r="AC42" t="str">
        <f t="shared" si="13"/>
        <v>Branchburg</v>
      </c>
      <c r="AD42" t="str">
        <f t="shared" si="14"/>
        <v>NJ</v>
      </c>
      <c r="AE42" t="str">
        <f t="shared" si="15"/>
        <v>08805</v>
      </c>
      <c r="AG42" t="str">
        <f t="shared" si="16"/>
        <v>GC Region 1- CR514</v>
      </c>
      <c r="AH42" t="str">
        <f>""</f>
        <v/>
      </c>
      <c r="AI42" t="str">
        <f t="shared" si="10"/>
        <v>Is your firm a NYS-certified MBE?</v>
      </c>
      <c r="AJ42" t="str">
        <f>""</f>
        <v/>
      </c>
      <c r="AK42" t="str">
        <f>""</f>
        <v/>
      </c>
    </row>
    <row r="43" spans="1:37" x14ac:dyDescent="0.35">
      <c r="A43">
        <v>41</v>
      </c>
      <c r="B43" t="str">
        <f t="shared" si="8"/>
        <v>186505354601832687</v>
      </c>
      <c r="C43">
        <v>1603921565</v>
      </c>
      <c r="D43" t="s">
        <v>38</v>
      </c>
      <c r="E43" t="s">
        <v>39</v>
      </c>
      <c r="F43" t="s">
        <v>40</v>
      </c>
      <c r="G43" t="s">
        <v>41</v>
      </c>
      <c r="H43" t="s">
        <v>42</v>
      </c>
      <c r="I43" t="s">
        <v>43</v>
      </c>
      <c r="J43" t="s">
        <v>63</v>
      </c>
      <c r="K43" t="s">
        <v>180</v>
      </c>
      <c r="L43" t="s">
        <v>181</v>
      </c>
      <c r="M43" t="s">
        <v>182</v>
      </c>
      <c r="N43" t="s">
        <v>49</v>
      </c>
      <c r="O43" t="s">
        <v>48</v>
      </c>
      <c r="P43" t="s">
        <v>48</v>
      </c>
      <c r="Q43" t="s">
        <v>187</v>
      </c>
      <c r="R43" t="s">
        <v>38</v>
      </c>
      <c r="S43" t="s">
        <v>184</v>
      </c>
      <c r="T43">
        <v>812579</v>
      </c>
      <c r="U43">
        <v>0</v>
      </c>
      <c r="V43" t="s">
        <v>49</v>
      </c>
      <c r="W43" t="str">
        <f t="shared" si="9"/>
        <v xml:space="preserve">  </v>
      </c>
      <c r="Y43" t="str">
        <f t="shared" si="11"/>
        <v>Hibuild LLC</v>
      </c>
      <c r="Z43" t="str">
        <f t="shared" si="12"/>
        <v>1-7324892326</v>
      </c>
      <c r="AA43" t="str">
        <f t="shared" si="7"/>
        <v xml:space="preserve">  </v>
      </c>
      <c r="AB43" t="str">
        <f t="shared" si="7"/>
        <v xml:space="preserve">  </v>
      </c>
      <c r="AC43" t="str">
        <f t="shared" si="13"/>
        <v>Branchburg</v>
      </c>
      <c r="AD43" t="str">
        <f t="shared" si="14"/>
        <v>NJ</v>
      </c>
      <c r="AE43" t="str">
        <f t="shared" si="15"/>
        <v>08805</v>
      </c>
      <c r="AG43" t="str">
        <f t="shared" si="16"/>
        <v>GC Region 1- CR514</v>
      </c>
      <c r="AH43" t="str">
        <f>""</f>
        <v/>
      </c>
      <c r="AI43" t="str">
        <f t="shared" si="10"/>
        <v>Is your firm a NYS-certified MBE?</v>
      </c>
      <c r="AJ43" t="str">
        <f>""</f>
        <v/>
      </c>
      <c r="AK43" t="str">
        <f>""</f>
        <v/>
      </c>
    </row>
    <row r="44" spans="1:37" x14ac:dyDescent="0.35">
      <c r="A44">
        <v>42</v>
      </c>
      <c r="B44" t="str">
        <f t="shared" si="8"/>
        <v>186505354601832687</v>
      </c>
      <c r="C44">
        <v>1603921565</v>
      </c>
      <c r="D44" t="s">
        <v>38</v>
      </c>
      <c r="E44" t="s">
        <v>39</v>
      </c>
      <c r="F44" t="s">
        <v>40</v>
      </c>
      <c r="G44" t="s">
        <v>41</v>
      </c>
      <c r="H44" t="s">
        <v>42</v>
      </c>
      <c r="I44" t="s">
        <v>43</v>
      </c>
      <c r="J44" t="s">
        <v>63</v>
      </c>
      <c r="K44" t="s">
        <v>180</v>
      </c>
      <c r="L44" t="s">
        <v>181</v>
      </c>
      <c r="M44" t="s">
        <v>182</v>
      </c>
      <c r="N44" t="s">
        <v>49</v>
      </c>
      <c r="O44" t="s">
        <v>48</v>
      </c>
      <c r="P44" t="s">
        <v>48</v>
      </c>
      <c r="Q44" t="s">
        <v>82</v>
      </c>
      <c r="R44" t="s">
        <v>38</v>
      </c>
      <c r="S44" t="s">
        <v>184</v>
      </c>
      <c r="T44">
        <v>812579</v>
      </c>
      <c r="U44">
        <v>0</v>
      </c>
      <c r="V44" t="s">
        <v>49</v>
      </c>
      <c r="W44" t="str">
        <f t="shared" si="9"/>
        <v xml:space="preserve">  </v>
      </c>
      <c r="Y44" t="str">
        <f t="shared" si="11"/>
        <v>Hibuild LLC</v>
      </c>
      <c r="Z44" t="str">
        <f t="shared" si="12"/>
        <v>1-7324892326</v>
      </c>
      <c r="AA44" t="str">
        <f t="shared" si="7"/>
        <v xml:space="preserve">  </v>
      </c>
      <c r="AB44" t="str">
        <f t="shared" si="7"/>
        <v xml:space="preserve">  </v>
      </c>
      <c r="AC44" t="str">
        <f t="shared" si="13"/>
        <v>Branchburg</v>
      </c>
      <c r="AD44" t="str">
        <f t="shared" si="14"/>
        <v>NJ</v>
      </c>
      <c r="AE44" t="str">
        <f t="shared" si="15"/>
        <v>08805</v>
      </c>
      <c r="AG44" t="str">
        <f t="shared" si="16"/>
        <v>GC Region 1- CR514</v>
      </c>
      <c r="AH44" t="str">
        <f>""</f>
        <v/>
      </c>
      <c r="AI44" t="str">
        <f t="shared" si="10"/>
        <v>Is your firm a NYS-certified MBE?</v>
      </c>
      <c r="AJ44" t="str">
        <f>""</f>
        <v/>
      </c>
      <c r="AK44" t="str">
        <f>""</f>
        <v/>
      </c>
    </row>
    <row r="45" spans="1:37" x14ac:dyDescent="0.35">
      <c r="A45">
        <v>43</v>
      </c>
      <c r="B45" t="str">
        <f t="shared" si="8"/>
        <v>186505354601832687</v>
      </c>
      <c r="C45">
        <v>1603921565</v>
      </c>
      <c r="D45" t="s">
        <v>38</v>
      </c>
      <c r="E45" t="s">
        <v>39</v>
      </c>
      <c r="F45" t="s">
        <v>40</v>
      </c>
      <c r="G45" t="s">
        <v>41</v>
      </c>
      <c r="H45" t="s">
        <v>42</v>
      </c>
      <c r="I45" t="s">
        <v>43</v>
      </c>
      <c r="J45" t="s">
        <v>63</v>
      </c>
      <c r="K45" t="s">
        <v>180</v>
      </c>
      <c r="L45" t="s">
        <v>181</v>
      </c>
      <c r="M45" t="s">
        <v>182</v>
      </c>
      <c r="N45" t="s">
        <v>49</v>
      </c>
      <c r="O45" t="s">
        <v>48</v>
      </c>
      <c r="P45" t="s">
        <v>48</v>
      </c>
      <c r="Q45" t="s">
        <v>41</v>
      </c>
      <c r="R45" t="s">
        <v>38</v>
      </c>
      <c r="S45" t="s">
        <v>184</v>
      </c>
      <c r="T45">
        <v>812579</v>
      </c>
      <c r="U45">
        <v>0</v>
      </c>
      <c r="V45" t="s">
        <v>49</v>
      </c>
      <c r="W45" t="str">
        <f t="shared" si="9"/>
        <v xml:space="preserve">  </v>
      </c>
      <c r="Y45" t="str">
        <f t="shared" si="11"/>
        <v>Hibuild LLC</v>
      </c>
      <c r="Z45" t="str">
        <f t="shared" si="12"/>
        <v>1-7324892326</v>
      </c>
      <c r="AA45" t="str">
        <f t="shared" si="7"/>
        <v xml:space="preserve">  </v>
      </c>
      <c r="AB45" t="str">
        <f t="shared" si="7"/>
        <v xml:space="preserve">  </v>
      </c>
      <c r="AC45" t="str">
        <f t="shared" si="13"/>
        <v>Branchburg</v>
      </c>
      <c r="AD45" t="str">
        <f t="shared" si="14"/>
        <v>NJ</v>
      </c>
      <c r="AE45" t="str">
        <f t="shared" si="15"/>
        <v>08805</v>
      </c>
      <c r="AG45" t="str">
        <f t="shared" si="16"/>
        <v>GC Region 1- CR514</v>
      </c>
      <c r="AH45" t="str">
        <f>""</f>
        <v/>
      </c>
      <c r="AI45" t="str">
        <f t="shared" si="10"/>
        <v>Is your firm a NYS-certified MBE?</v>
      </c>
      <c r="AJ45" t="str">
        <f>""</f>
        <v/>
      </c>
      <c r="AK45" t="str">
        <f>""</f>
        <v/>
      </c>
    </row>
    <row r="46" spans="1:37" x14ac:dyDescent="0.35">
      <c r="A46">
        <v>44</v>
      </c>
      <c r="B46" t="str">
        <f t="shared" si="8"/>
        <v>186505354601832687</v>
      </c>
      <c r="C46">
        <v>1603921565</v>
      </c>
      <c r="D46" t="s">
        <v>38</v>
      </c>
      <c r="E46" t="s">
        <v>39</v>
      </c>
      <c r="F46" t="s">
        <v>40</v>
      </c>
      <c r="G46" t="s">
        <v>41</v>
      </c>
      <c r="H46" t="s">
        <v>42</v>
      </c>
      <c r="I46" t="s">
        <v>43</v>
      </c>
      <c r="J46" t="s">
        <v>63</v>
      </c>
      <c r="K46" t="s">
        <v>188</v>
      </c>
      <c r="L46" t="s">
        <v>189</v>
      </c>
      <c r="M46" t="s">
        <v>190</v>
      </c>
      <c r="N46" t="s">
        <v>49</v>
      </c>
      <c r="O46" t="s">
        <v>48</v>
      </c>
      <c r="P46" t="s">
        <v>48</v>
      </c>
      <c r="Q46" t="s">
        <v>87</v>
      </c>
      <c r="R46" t="s">
        <v>38</v>
      </c>
      <c r="S46" t="s">
        <v>191</v>
      </c>
      <c r="T46">
        <v>600279</v>
      </c>
      <c r="U46">
        <v>0</v>
      </c>
      <c r="V46" t="s">
        <v>49</v>
      </c>
      <c r="W46" t="str">
        <f t="shared" si="9"/>
        <v xml:space="preserve">  </v>
      </c>
      <c r="Y46" t="str">
        <f>"Empire Control Abatement Inc."</f>
        <v>Empire Control Abatement Inc.</v>
      </c>
      <c r="Z46" t="str">
        <f>"1-9735800409"</f>
        <v>1-9735800409</v>
      </c>
      <c r="AA46" t="str">
        <f t="shared" si="7"/>
        <v xml:space="preserve">  </v>
      </c>
      <c r="AB46" t="str">
        <f t="shared" si="7"/>
        <v xml:space="preserve">  </v>
      </c>
      <c r="AC46" t="str">
        <f>"New York"</f>
        <v>New York</v>
      </c>
      <c r="AD46" t="str">
        <f>"New York"</f>
        <v>New York</v>
      </c>
      <c r="AE46" t="str">
        <f>"11356"</f>
        <v>11356</v>
      </c>
      <c r="AG46" t="str">
        <f>"Region 1 CR 516 Asbestos/Hazmat"</f>
        <v>Region 1 CR 516 Asbestos/Hazmat</v>
      </c>
      <c r="AH46" t="str">
        <f>"Is your firm a NYS-certified WBE?"</f>
        <v>Is your firm a NYS-certified WBE?</v>
      </c>
      <c r="AI46" t="str">
        <f>""</f>
        <v/>
      </c>
      <c r="AJ46" t="str">
        <f>""</f>
        <v/>
      </c>
      <c r="AK46" t="str">
        <f>""</f>
        <v/>
      </c>
    </row>
    <row r="47" spans="1:37" x14ac:dyDescent="0.35">
      <c r="A47">
        <v>45</v>
      </c>
      <c r="B47" t="str">
        <f t="shared" si="8"/>
        <v>186505354601832687</v>
      </c>
      <c r="C47">
        <v>1603921565</v>
      </c>
      <c r="D47" t="s">
        <v>38</v>
      </c>
      <c r="E47" t="s">
        <v>39</v>
      </c>
      <c r="F47" t="s">
        <v>40</v>
      </c>
      <c r="G47" t="s">
        <v>41</v>
      </c>
      <c r="H47" t="s">
        <v>42</v>
      </c>
      <c r="I47" t="s">
        <v>43</v>
      </c>
      <c r="J47" t="s">
        <v>63</v>
      </c>
      <c r="K47" t="s">
        <v>192</v>
      </c>
      <c r="L47" t="s">
        <v>193</v>
      </c>
      <c r="M47" t="s">
        <v>194</v>
      </c>
      <c r="N47" t="s">
        <v>49</v>
      </c>
      <c r="O47" t="s">
        <v>48</v>
      </c>
      <c r="P47" t="s">
        <v>48</v>
      </c>
      <c r="Q47" t="s">
        <v>195</v>
      </c>
      <c r="R47" t="s">
        <v>38</v>
      </c>
      <c r="S47" t="s">
        <v>196</v>
      </c>
      <c r="T47">
        <v>314047</v>
      </c>
      <c r="U47">
        <v>0</v>
      </c>
      <c r="V47" t="s">
        <v>49</v>
      </c>
      <c r="W47" t="str">
        <f t="shared" si="9"/>
        <v xml:space="preserve">  </v>
      </c>
      <c r="Y47" t="str">
        <f>"Streeter Associates, Inc"</f>
        <v>Streeter Associates, Inc</v>
      </c>
      <c r="Z47" t="str">
        <f>"1-607-857-3815"</f>
        <v>1-607-857-3815</v>
      </c>
      <c r="AA47" t="str">
        <f t="shared" si="7"/>
        <v xml:space="preserve">  </v>
      </c>
      <c r="AB47" t="str">
        <f t="shared" si="7"/>
        <v xml:space="preserve">  </v>
      </c>
      <c r="AC47" t="str">
        <f>"Elmira"</f>
        <v>Elmira</v>
      </c>
      <c r="AD47" t="str">
        <f>"NY"</f>
        <v>NY</v>
      </c>
      <c r="AE47" t="str">
        <f>"14901"</f>
        <v>14901</v>
      </c>
      <c r="AG47" t="str">
        <f>"Region 8 - General Contracting Opportunities"</f>
        <v>Region 8 - General Contracting Opportunities</v>
      </c>
      <c r="AH47" t="str">
        <f>""</f>
        <v/>
      </c>
      <c r="AI47" t="str">
        <f>""</f>
        <v/>
      </c>
      <c r="AJ47" t="str">
        <f>""</f>
        <v/>
      </c>
      <c r="AK47" t="str">
        <f>""</f>
        <v/>
      </c>
    </row>
    <row r="48" spans="1:37" x14ac:dyDescent="0.35">
      <c r="A48">
        <v>46</v>
      </c>
      <c r="B48" t="str">
        <f t="shared" si="8"/>
        <v>186505354601832687</v>
      </c>
      <c r="C48">
        <v>1603921565</v>
      </c>
      <c r="D48" t="s">
        <v>38</v>
      </c>
      <c r="E48" t="s">
        <v>39</v>
      </c>
      <c r="F48" t="s">
        <v>40</v>
      </c>
      <c r="G48" t="s">
        <v>41</v>
      </c>
      <c r="H48" t="s">
        <v>42</v>
      </c>
      <c r="I48" t="s">
        <v>43</v>
      </c>
      <c r="J48" t="s">
        <v>63</v>
      </c>
      <c r="K48" t="s">
        <v>197</v>
      </c>
      <c r="L48" t="s">
        <v>198</v>
      </c>
      <c r="M48" t="s">
        <v>199</v>
      </c>
      <c r="N48" t="s">
        <v>49</v>
      </c>
      <c r="O48" t="s">
        <v>48</v>
      </c>
      <c r="P48" t="s">
        <v>48</v>
      </c>
      <c r="Q48" t="s">
        <v>200</v>
      </c>
      <c r="R48" t="s">
        <v>38</v>
      </c>
      <c r="S48" t="s">
        <v>201</v>
      </c>
      <c r="T48">
        <v>169366</v>
      </c>
      <c r="U48">
        <v>0</v>
      </c>
      <c r="V48" t="s">
        <v>49</v>
      </c>
      <c r="W48" t="str">
        <f t="shared" si="9"/>
        <v xml:space="preserve">  </v>
      </c>
      <c r="Y48" t="str">
        <f>"QUALITY CONTROL LABORATORIES LLC"</f>
        <v>QUALITY CONTROL LABORATORIES LLC</v>
      </c>
      <c r="Z48" t="str">
        <f>"1-7185456064"</f>
        <v>1-7185456064</v>
      </c>
      <c r="AA48" t="str">
        <f t="shared" si="7"/>
        <v xml:space="preserve">  </v>
      </c>
      <c r="AB48" t="str">
        <f t="shared" si="7"/>
        <v xml:space="preserve">  </v>
      </c>
      <c r="AC48" t="str">
        <f>"Woodside"</f>
        <v>Woodside</v>
      </c>
      <c r="AD48" t="str">
        <f>"New York"</f>
        <v>New York</v>
      </c>
      <c r="AE48" t="str">
        <f>"11377"</f>
        <v>11377</v>
      </c>
      <c r="AG48" t="str">
        <f>"Special Inspections for Construction Projects"</f>
        <v>Special Inspections for Construction Projects</v>
      </c>
      <c r="AH48" t="str">
        <f>""</f>
        <v/>
      </c>
      <c r="AI48" t="str">
        <f>"Is your firm a NYS-certified MBE?"</f>
        <v>Is your firm a NYS-certified MBE?</v>
      </c>
      <c r="AJ48" t="str">
        <f>""</f>
        <v/>
      </c>
      <c r="AK48" t="str">
        <f>""</f>
        <v/>
      </c>
    </row>
    <row r="49" spans="1:37" x14ac:dyDescent="0.35">
      <c r="A49">
        <v>47</v>
      </c>
      <c r="B49" t="str">
        <f t="shared" si="8"/>
        <v>186505354601832687</v>
      </c>
      <c r="C49">
        <v>1603921565</v>
      </c>
      <c r="D49" t="s">
        <v>38</v>
      </c>
      <c r="E49" t="s">
        <v>39</v>
      </c>
      <c r="F49" t="s">
        <v>40</v>
      </c>
      <c r="G49" t="s">
        <v>41</v>
      </c>
      <c r="H49" t="s">
        <v>42</v>
      </c>
      <c r="I49" t="s">
        <v>43</v>
      </c>
      <c r="J49" t="s">
        <v>63</v>
      </c>
      <c r="K49" t="s">
        <v>202</v>
      </c>
      <c r="L49" t="s">
        <v>203</v>
      </c>
      <c r="M49" t="s">
        <v>204</v>
      </c>
      <c r="N49" t="s">
        <v>49</v>
      </c>
      <c r="O49" t="s">
        <v>48</v>
      </c>
      <c r="P49" t="s">
        <v>48</v>
      </c>
      <c r="Q49" t="s">
        <v>41</v>
      </c>
      <c r="R49" t="s">
        <v>38</v>
      </c>
      <c r="S49" t="s">
        <v>205</v>
      </c>
      <c r="T49">
        <v>874803</v>
      </c>
      <c r="U49">
        <v>0</v>
      </c>
      <c r="V49" t="s">
        <v>49</v>
      </c>
      <c r="W49" t="str">
        <f t="shared" si="9"/>
        <v xml:space="preserve">  </v>
      </c>
      <c r="Y49" t="str">
        <f>"Ashnu International Inc"</f>
        <v>Ashnu International Inc</v>
      </c>
      <c r="Z49" t="str">
        <f>"1-7182677590"</f>
        <v>1-7182677590</v>
      </c>
      <c r="AA49" t="str">
        <f t="shared" ref="AA49:AB68" si="17">"  "</f>
        <v xml:space="preserve">  </v>
      </c>
      <c r="AB49" t="str">
        <f t="shared" si="17"/>
        <v xml:space="preserve">  </v>
      </c>
      <c r="AC49" t="str">
        <f>"Woodside"</f>
        <v>Woodside</v>
      </c>
      <c r="AD49" t="str">
        <f>"New York"</f>
        <v>New York</v>
      </c>
      <c r="AE49" t="str">
        <f>"11377"</f>
        <v>11377</v>
      </c>
      <c r="AG49" t="str">
        <f>"General construction"</f>
        <v>General construction</v>
      </c>
      <c r="AH49" t="str">
        <f>"Is your firm a NYS-certified WBE?"</f>
        <v>Is your firm a NYS-certified WBE?</v>
      </c>
      <c r="AI49" t="str">
        <f>"Is your firm a NYS-certified MBE?"</f>
        <v>Is your firm a NYS-certified MBE?</v>
      </c>
      <c r="AJ49" t="str">
        <f>""</f>
        <v/>
      </c>
      <c r="AK49" t="str">
        <f>""</f>
        <v/>
      </c>
    </row>
    <row r="50" spans="1:37" x14ac:dyDescent="0.35">
      <c r="A50">
        <v>48</v>
      </c>
      <c r="B50" t="str">
        <f t="shared" si="8"/>
        <v>186505354601832687</v>
      </c>
      <c r="C50">
        <v>1603921565</v>
      </c>
      <c r="D50" t="s">
        <v>38</v>
      </c>
      <c r="E50" t="s">
        <v>39</v>
      </c>
      <c r="F50" t="s">
        <v>40</v>
      </c>
      <c r="G50" t="s">
        <v>41</v>
      </c>
      <c r="H50" t="s">
        <v>42</v>
      </c>
      <c r="I50" t="s">
        <v>43</v>
      </c>
      <c r="J50" t="s">
        <v>63</v>
      </c>
      <c r="K50" t="s">
        <v>206</v>
      </c>
      <c r="L50" t="s">
        <v>207</v>
      </c>
      <c r="M50" t="s">
        <v>208</v>
      </c>
      <c r="N50" t="s">
        <v>49</v>
      </c>
      <c r="O50" t="s">
        <v>48</v>
      </c>
      <c r="P50" t="s">
        <v>48</v>
      </c>
      <c r="Q50" t="s">
        <v>209</v>
      </c>
      <c r="R50" t="s">
        <v>38</v>
      </c>
      <c r="S50" t="s">
        <v>210</v>
      </c>
      <c r="T50">
        <v>436974</v>
      </c>
      <c r="U50">
        <v>0</v>
      </c>
      <c r="V50" t="s">
        <v>49</v>
      </c>
      <c r="W50" t="str">
        <f t="shared" si="9"/>
        <v xml:space="preserve">  </v>
      </c>
      <c r="Y50" t="str">
        <f>"C.C.C. Renovation Inc."</f>
        <v>C.C.C. Renovation Inc.</v>
      </c>
      <c r="Z50" t="str">
        <f>"1-7183831220"</f>
        <v>1-7183831220</v>
      </c>
      <c r="AA50" t="str">
        <f t="shared" si="17"/>
        <v xml:space="preserve">  </v>
      </c>
      <c r="AB50" t="str">
        <f t="shared" si="17"/>
        <v xml:space="preserve">  </v>
      </c>
      <c r="AC50" t="str">
        <f>"Long Island City"</f>
        <v>Long Island City</v>
      </c>
      <c r="AD50" t="str">
        <f t="shared" ref="AD50:AD56" si="18">"NY"</f>
        <v>NY</v>
      </c>
      <c r="AE50" t="str">
        <f>"11101-3263"</f>
        <v>11101-3263</v>
      </c>
      <c r="AG50" t="str">
        <f>"Masonry_x000D_
Foundation Waterproofing_x000D_
roofing_x000D_
EIFS_x000D_
"</f>
        <v xml:space="preserve">Masonry_x000D_
Foundation Waterproofing_x000D_
roofing_x000D_
EIFS_x000D_
</v>
      </c>
      <c r="AH50" t="str">
        <f>""</f>
        <v/>
      </c>
      <c r="AI50" t="str">
        <f>"Is your firm a NYS-certified MBE?"</f>
        <v>Is your firm a NYS-certified MBE?</v>
      </c>
      <c r="AJ50" t="str">
        <f>""</f>
        <v/>
      </c>
      <c r="AK50" t="str">
        <f>""</f>
        <v/>
      </c>
    </row>
    <row r="51" spans="1:37" x14ac:dyDescent="0.35">
      <c r="A51">
        <v>49</v>
      </c>
      <c r="B51" t="str">
        <f t="shared" si="8"/>
        <v>186505354601832687</v>
      </c>
      <c r="C51">
        <v>1603921565</v>
      </c>
      <c r="D51" t="s">
        <v>38</v>
      </c>
      <c r="E51" t="s">
        <v>39</v>
      </c>
      <c r="F51" t="s">
        <v>40</v>
      </c>
      <c r="G51" t="s">
        <v>41</v>
      </c>
      <c r="H51" t="s">
        <v>42</v>
      </c>
      <c r="I51" t="s">
        <v>43</v>
      </c>
      <c r="J51" t="s">
        <v>63</v>
      </c>
      <c r="K51" t="s">
        <v>211</v>
      </c>
      <c r="L51" t="s">
        <v>212</v>
      </c>
      <c r="M51" t="s">
        <v>213</v>
      </c>
      <c r="N51" t="s">
        <v>49</v>
      </c>
      <c r="O51" t="s">
        <v>48</v>
      </c>
      <c r="P51" t="s">
        <v>48</v>
      </c>
      <c r="Q51" t="s">
        <v>159</v>
      </c>
      <c r="R51" t="s">
        <v>38</v>
      </c>
      <c r="S51" t="s">
        <v>214</v>
      </c>
      <c r="T51">
        <v>197841</v>
      </c>
      <c r="U51">
        <v>0</v>
      </c>
      <c r="V51" t="s">
        <v>49</v>
      </c>
      <c r="W51" t="str">
        <f t="shared" si="9"/>
        <v xml:space="preserve">  </v>
      </c>
      <c r="Y51" t="str">
        <f>"The Saban Engineering Group, Inc."</f>
        <v>The Saban Engineering Group, Inc.</v>
      </c>
      <c r="Z51" t="str">
        <f>"1-2123720338"</f>
        <v>1-2123720338</v>
      </c>
      <c r="AA51" t="str">
        <f t="shared" si="17"/>
        <v xml:space="preserve">  </v>
      </c>
      <c r="AB51" t="str">
        <f t="shared" si="17"/>
        <v xml:space="preserve">  </v>
      </c>
      <c r="AC51" t="str">
        <f>"New York City"</f>
        <v>New York City</v>
      </c>
      <c r="AD51" t="str">
        <f t="shared" si="18"/>
        <v>NY</v>
      </c>
      <c r="AE51" t="str">
        <f>"10018"</f>
        <v>10018</v>
      </c>
      <c r="AG51" t="str">
        <f>"Environmental/Hazardous Materials Consulting and Testing Services"</f>
        <v>Environmental/Hazardous Materials Consulting and Testing Services</v>
      </c>
      <c r="AH51" t="str">
        <f>""</f>
        <v/>
      </c>
      <c r="AI51" t="str">
        <f>"Is your firm a NYS-certified MBE?"</f>
        <v>Is your firm a NYS-certified MBE?</v>
      </c>
      <c r="AJ51" t="str">
        <f>""</f>
        <v/>
      </c>
      <c r="AK51" t="str">
        <f>""</f>
        <v/>
      </c>
    </row>
    <row r="52" spans="1:37" x14ac:dyDescent="0.35">
      <c r="A52">
        <v>50</v>
      </c>
      <c r="B52" t="str">
        <f t="shared" si="8"/>
        <v>186505354601832687</v>
      </c>
      <c r="C52">
        <v>1603921565</v>
      </c>
      <c r="D52" t="s">
        <v>38</v>
      </c>
      <c r="E52" t="s">
        <v>39</v>
      </c>
      <c r="F52" t="s">
        <v>40</v>
      </c>
      <c r="G52" t="s">
        <v>41</v>
      </c>
      <c r="H52" t="s">
        <v>42</v>
      </c>
      <c r="I52" t="s">
        <v>43</v>
      </c>
      <c r="J52" t="s">
        <v>63</v>
      </c>
      <c r="K52" t="s">
        <v>215</v>
      </c>
      <c r="L52" t="s">
        <v>216</v>
      </c>
      <c r="M52" t="s">
        <v>217</v>
      </c>
      <c r="N52" t="s">
        <v>49</v>
      </c>
      <c r="O52" t="s">
        <v>48</v>
      </c>
      <c r="P52" t="s">
        <v>48</v>
      </c>
      <c r="Q52" t="s">
        <v>61</v>
      </c>
      <c r="R52" t="s">
        <v>38</v>
      </c>
      <c r="S52" t="s">
        <v>218</v>
      </c>
      <c r="T52">
        <v>467361</v>
      </c>
      <c r="U52">
        <v>0</v>
      </c>
      <c r="V52" t="s">
        <v>49</v>
      </c>
      <c r="W52" t="str">
        <f t="shared" si="9"/>
        <v xml:space="preserve">  </v>
      </c>
      <c r="Y52" t="str">
        <f>"Approved General Contracting Inc."</f>
        <v>Approved General Contracting Inc.</v>
      </c>
      <c r="Z52" t="str">
        <f>"1-6467063564"</f>
        <v>1-6467063564</v>
      </c>
      <c r="AA52" t="str">
        <f t="shared" si="17"/>
        <v xml:space="preserve">  </v>
      </c>
      <c r="AB52" t="str">
        <f t="shared" si="17"/>
        <v xml:space="preserve">  </v>
      </c>
      <c r="AC52" t="str">
        <f>"Mineola"</f>
        <v>Mineola</v>
      </c>
      <c r="AD52" t="str">
        <f t="shared" si="18"/>
        <v>NY</v>
      </c>
      <c r="AE52" t="str">
        <f>"11501"</f>
        <v>11501</v>
      </c>
      <c r="AG52" t="str">
        <f>"Masonry restoration/ concrete/ excavation/ superstructure/ foundation/ sidewalks/ parking lots"</f>
        <v>Masonry restoration/ concrete/ excavation/ superstructure/ foundation/ sidewalks/ parking lots</v>
      </c>
      <c r="AH52" t="str">
        <f>""</f>
        <v/>
      </c>
      <c r="AI52" t="str">
        <f>"Is your firm a NYS-certified MBE?"</f>
        <v>Is your firm a NYS-certified MBE?</v>
      </c>
      <c r="AJ52" t="str">
        <f>""</f>
        <v/>
      </c>
      <c r="AK52" t="str">
        <f>""</f>
        <v/>
      </c>
    </row>
    <row r="53" spans="1:37" x14ac:dyDescent="0.35">
      <c r="A53">
        <v>51</v>
      </c>
      <c r="B53" t="str">
        <f t="shared" si="8"/>
        <v>186505354601832687</v>
      </c>
      <c r="C53">
        <v>1603921565</v>
      </c>
      <c r="D53" t="s">
        <v>38</v>
      </c>
      <c r="E53" t="s">
        <v>39</v>
      </c>
      <c r="F53" t="s">
        <v>40</v>
      </c>
      <c r="G53" t="s">
        <v>41</v>
      </c>
      <c r="H53" t="s">
        <v>42</v>
      </c>
      <c r="I53" t="s">
        <v>43</v>
      </c>
      <c r="J53" t="s">
        <v>63</v>
      </c>
      <c r="K53" t="s">
        <v>219</v>
      </c>
      <c r="L53" t="s">
        <v>220</v>
      </c>
      <c r="M53" t="s">
        <v>221</v>
      </c>
      <c r="N53" t="s">
        <v>49</v>
      </c>
      <c r="O53" t="s">
        <v>48</v>
      </c>
      <c r="P53" t="s">
        <v>48</v>
      </c>
      <c r="Q53" t="s">
        <v>57</v>
      </c>
      <c r="R53" t="s">
        <v>38</v>
      </c>
      <c r="S53" t="s">
        <v>222</v>
      </c>
      <c r="T53">
        <v>776572</v>
      </c>
      <c r="U53">
        <v>0</v>
      </c>
      <c r="V53" t="s">
        <v>49</v>
      </c>
      <c r="W53" t="str">
        <f t="shared" si="9"/>
        <v xml:space="preserve">  </v>
      </c>
      <c r="Y53" t="str">
        <f>"Li Craftsmanship Inc"</f>
        <v>Li Craftsmanship Inc</v>
      </c>
      <c r="Z53" t="str">
        <f>"1-5163135415"</f>
        <v>1-5163135415</v>
      </c>
      <c r="AA53" t="str">
        <f t="shared" si="17"/>
        <v xml:space="preserve">  </v>
      </c>
      <c r="AB53" t="str">
        <f t="shared" si="17"/>
        <v xml:space="preserve">  </v>
      </c>
      <c r="AC53" t="str">
        <f>"Holbrook"</f>
        <v>Holbrook</v>
      </c>
      <c r="AD53" t="str">
        <f t="shared" si="18"/>
        <v>NY</v>
      </c>
      <c r="AE53" t="str">
        <f>"11741"</f>
        <v>11741</v>
      </c>
      <c r="AG53" t="str">
        <f>"JOC Electric"</f>
        <v>JOC Electric</v>
      </c>
      <c r="AH53" t="str">
        <f>""</f>
        <v/>
      </c>
      <c r="AI53" t="str">
        <f>""</f>
        <v/>
      </c>
      <c r="AJ53" t="str">
        <f>"Is your firm a NYS-certified SVDOB?"</f>
        <v>Is your firm a NYS-certified SVDOB?</v>
      </c>
      <c r="AK53" t="str">
        <f>""</f>
        <v/>
      </c>
    </row>
    <row r="54" spans="1:37" x14ac:dyDescent="0.35">
      <c r="A54">
        <v>52</v>
      </c>
      <c r="B54" t="str">
        <f t="shared" si="8"/>
        <v>186505354601832687</v>
      </c>
      <c r="C54">
        <v>1603921565</v>
      </c>
      <c r="D54" t="s">
        <v>38</v>
      </c>
      <c r="E54" t="s">
        <v>39</v>
      </c>
      <c r="F54" t="s">
        <v>40</v>
      </c>
      <c r="G54" t="s">
        <v>41</v>
      </c>
      <c r="H54" t="s">
        <v>42</v>
      </c>
      <c r="I54" t="s">
        <v>43</v>
      </c>
      <c r="J54" t="s">
        <v>63</v>
      </c>
      <c r="K54" t="s">
        <v>223</v>
      </c>
      <c r="L54" t="s">
        <v>224</v>
      </c>
      <c r="M54" t="s">
        <v>225</v>
      </c>
      <c r="N54" t="s">
        <v>49</v>
      </c>
      <c r="O54" t="s">
        <v>48</v>
      </c>
      <c r="P54" t="s">
        <v>48</v>
      </c>
      <c r="Q54" t="s">
        <v>138</v>
      </c>
      <c r="R54" t="s">
        <v>38</v>
      </c>
      <c r="S54" t="s">
        <v>226</v>
      </c>
      <c r="T54">
        <v>155685</v>
      </c>
      <c r="U54">
        <v>0</v>
      </c>
      <c r="V54" t="s">
        <v>49</v>
      </c>
      <c r="W54" t="str">
        <f t="shared" si="9"/>
        <v xml:space="preserve">  </v>
      </c>
      <c r="Y54" t="str">
        <f>"DASNY"</f>
        <v>DASNY</v>
      </c>
      <c r="Z54" t="str">
        <f>"1-5182573297"</f>
        <v>1-5182573297</v>
      </c>
      <c r="AA54" t="str">
        <f t="shared" si="17"/>
        <v xml:space="preserve">  </v>
      </c>
      <c r="AB54" t="str">
        <f t="shared" si="17"/>
        <v xml:space="preserve">  </v>
      </c>
      <c r="AC54" t="str">
        <f>"Albany"</f>
        <v>Albany</v>
      </c>
      <c r="AD54" t="str">
        <f t="shared" si="18"/>
        <v>NY</v>
      </c>
      <c r="AE54" t="str">
        <f>"12207"</f>
        <v>12207</v>
      </c>
      <c r="AG54" t="str">
        <f>"NA -DASNY JOC PM"</f>
        <v>NA -DASNY JOC PM</v>
      </c>
      <c r="AH54" t="str">
        <f>""</f>
        <v/>
      </c>
      <c r="AI54" t="str">
        <f>""</f>
        <v/>
      </c>
      <c r="AJ54" t="str">
        <f>""</f>
        <v/>
      </c>
      <c r="AK54" t="str">
        <f>""</f>
        <v/>
      </c>
    </row>
    <row r="55" spans="1:37" x14ac:dyDescent="0.35">
      <c r="A55">
        <v>53</v>
      </c>
      <c r="B55" t="str">
        <f t="shared" si="8"/>
        <v>186505354601832687</v>
      </c>
      <c r="C55">
        <v>1603921565</v>
      </c>
      <c r="D55" t="s">
        <v>38</v>
      </c>
      <c r="E55" t="s">
        <v>39</v>
      </c>
      <c r="F55" t="s">
        <v>40</v>
      </c>
      <c r="G55" t="s">
        <v>41</v>
      </c>
      <c r="H55" t="s">
        <v>42</v>
      </c>
      <c r="I55" t="s">
        <v>43</v>
      </c>
      <c r="J55" t="s">
        <v>63</v>
      </c>
      <c r="K55" t="s">
        <v>227</v>
      </c>
      <c r="L55" t="s">
        <v>228</v>
      </c>
      <c r="M55" t="s">
        <v>229</v>
      </c>
      <c r="N55" t="s">
        <v>49</v>
      </c>
      <c r="O55" t="s">
        <v>48</v>
      </c>
      <c r="P55" t="s">
        <v>48</v>
      </c>
      <c r="Q55" t="s">
        <v>41</v>
      </c>
      <c r="R55" t="s">
        <v>38</v>
      </c>
      <c r="S55" t="s">
        <v>230</v>
      </c>
      <c r="T55">
        <v>582332</v>
      </c>
      <c r="U55">
        <v>0</v>
      </c>
      <c r="V55" t="s">
        <v>49</v>
      </c>
      <c r="W55" t="str">
        <f t="shared" si="9"/>
        <v xml:space="preserve">  </v>
      </c>
      <c r="Y55" t="str">
        <f>"Global Urban Enterprises LLC"</f>
        <v>Global Urban Enterprises LLC</v>
      </c>
      <c r="Z55" t="str">
        <f>"1-5853552022"</f>
        <v>1-5853552022</v>
      </c>
      <c r="AA55" t="str">
        <f t="shared" si="17"/>
        <v xml:space="preserve">  </v>
      </c>
      <c r="AB55" t="str">
        <f t="shared" si="17"/>
        <v xml:space="preserve">  </v>
      </c>
      <c r="AC55" t="str">
        <f>"Fairport"</f>
        <v>Fairport</v>
      </c>
      <c r="AD55" t="str">
        <f t="shared" si="18"/>
        <v>NY</v>
      </c>
      <c r="AE55" t="str">
        <f>"14450"</f>
        <v>14450</v>
      </c>
      <c r="AG55" t="str">
        <f>"5,4A"</f>
        <v>5,4A</v>
      </c>
      <c r="AH55" t="str">
        <f>""</f>
        <v/>
      </c>
      <c r="AI55" t="str">
        <f>""</f>
        <v/>
      </c>
      <c r="AJ55" t="str">
        <f>"Is your firm a NYS-certified SVDOB?"</f>
        <v>Is your firm a NYS-certified SVDOB?</v>
      </c>
      <c r="AK55" t="str">
        <f>""</f>
        <v/>
      </c>
    </row>
    <row r="56" spans="1:37" x14ac:dyDescent="0.35">
      <c r="A56">
        <v>54</v>
      </c>
      <c r="B56" t="str">
        <f t="shared" si="8"/>
        <v>186505354601832687</v>
      </c>
      <c r="C56">
        <v>1603921565</v>
      </c>
      <c r="D56" t="s">
        <v>38</v>
      </c>
      <c r="E56" t="s">
        <v>39</v>
      </c>
      <c r="F56" t="s">
        <v>40</v>
      </c>
      <c r="G56" t="s">
        <v>41</v>
      </c>
      <c r="H56" t="s">
        <v>42</v>
      </c>
      <c r="I56" t="s">
        <v>43</v>
      </c>
      <c r="J56" t="s">
        <v>63</v>
      </c>
      <c r="K56" t="s">
        <v>231</v>
      </c>
      <c r="L56" t="s">
        <v>232</v>
      </c>
      <c r="M56" t="s">
        <v>233</v>
      </c>
      <c r="N56" t="s">
        <v>49</v>
      </c>
      <c r="O56" t="s">
        <v>48</v>
      </c>
      <c r="P56" t="s">
        <v>48</v>
      </c>
      <c r="Q56" t="s">
        <v>234</v>
      </c>
      <c r="R56" t="s">
        <v>38</v>
      </c>
      <c r="S56" t="s">
        <v>235</v>
      </c>
      <c r="T56">
        <v>864379</v>
      </c>
      <c r="U56">
        <v>0</v>
      </c>
      <c r="V56" t="s">
        <v>49</v>
      </c>
      <c r="W56" t="str">
        <f t="shared" si="9"/>
        <v xml:space="preserve">  </v>
      </c>
      <c r="Y56" t="str">
        <f>"G-Squared Electric, lLC"</f>
        <v>G-Squared Electric, lLC</v>
      </c>
      <c r="Z56" t="str">
        <f>"1-16312922120"</f>
        <v>1-16312922120</v>
      </c>
      <c r="AA56" t="str">
        <f t="shared" si="17"/>
        <v xml:space="preserve">  </v>
      </c>
      <c r="AB56" t="str">
        <f t="shared" si="17"/>
        <v xml:space="preserve">  </v>
      </c>
      <c r="AC56" t="str">
        <f>"Hauppauge"</f>
        <v>Hauppauge</v>
      </c>
      <c r="AD56" t="str">
        <f t="shared" si="18"/>
        <v>NY</v>
      </c>
      <c r="AE56" t="str">
        <f>"11788"</f>
        <v>11788</v>
      </c>
      <c r="AG56" t="str">
        <f>"Solicitation #:1000509999/CR513, 515, 520, 521, 522, 523 and 524"</f>
        <v>Solicitation #:1000509999/CR513, 515, 520, 521, 522, 523 and 524</v>
      </c>
      <c r="AH56" t="str">
        <f>"Is your firm a NYS-certified WBE?"</f>
        <v>Is your firm a NYS-certified WBE?</v>
      </c>
      <c r="AI56" t="str">
        <f>""</f>
        <v/>
      </c>
      <c r="AJ56" t="str">
        <f>""</f>
        <v/>
      </c>
      <c r="AK56" t="str">
        <f>""</f>
        <v/>
      </c>
    </row>
    <row r="57" spans="1:37" x14ac:dyDescent="0.35">
      <c r="A57">
        <v>55</v>
      </c>
      <c r="B57" t="str">
        <f t="shared" si="8"/>
        <v>186505354601832687</v>
      </c>
      <c r="C57">
        <v>1603921565</v>
      </c>
      <c r="D57" t="s">
        <v>38</v>
      </c>
      <c r="E57" t="s">
        <v>39</v>
      </c>
      <c r="F57" t="s">
        <v>40</v>
      </c>
      <c r="G57" t="s">
        <v>41</v>
      </c>
      <c r="H57" t="s">
        <v>42</v>
      </c>
      <c r="I57" t="s">
        <v>43</v>
      </c>
      <c r="J57" t="s">
        <v>63</v>
      </c>
      <c r="K57" t="s">
        <v>236</v>
      </c>
      <c r="L57" t="s">
        <v>237</v>
      </c>
      <c r="M57" t="s">
        <v>238</v>
      </c>
      <c r="N57" t="s">
        <v>49</v>
      </c>
      <c r="O57" t="s">
        <v>48</v>
      </c>
      <c r="P57" t="s">
        <v>48</v>
      </c>
      <c r="Q57" t="s">
        <v>186</v>
      </c>
      <c r="R57" t="s">
        <v>38</v>
      </c>
      <c r="S57" t="s">
        <v>239</v>
      </c>
      <c r="T57">
        <v>415267</v>
      </c>
      <c r="U57">
        <v>0</v>
      </c>
      <c r="V57" t="s">
        <v>49</v>
      </c>
      <c r="W57" t="str">
        <f t="shared" si="9"/>
        <v xml:space="preserve">  </v>
      </c>
      <c r="Y57" t="str">
        <f>"Lexx Communications Inc"</f>
        <v>Lexx Communications Inc</v>
      </c>
      <c r="Z57" t="str">
        <f>"1-5168259090"</f>
        <v>1-5168259090</v>
      </c>
      <c r="AA57" t="str">
        <f t="shared" si="17"/>
        <v xml:space="preserve">  </v>
      </c>
      <c r="AB57" t="str">
        <f t="shared" si="17"/>
        <v xml:space="preserve">  </v>
      </c>
      <c r="AC57" t="str">
        <f>"Valley Stream"</f>
        <v>Valley Stream</v>
      </c>
      <c r="AD57" t="str">
        <f>"New York"</f>
        <v>New York</v>
      </c>
      <c r="AE57" t="str">
        <f>"11581"</f>
        <v>11581</v>
      </c>
      <c r="AG57" t="str">
        <f>"Telecommunications."</f>
        <v>Telecommunications.</v>
      </c>
      <c r="AH57" t="str">
        <f>""</f>
        <v/>
      </c>
      <c r="AI57" t="str">
        <f>"Is your firm a NYS-certified MBE?"</f>
        <v>Is your firm a NYS-certified MBE?</v>
      </c>
      <c r="AJ57" t="str">
        <f>""</f>
        <v/>
      </c>
      <c r="AK57" t="str">
        <f>""</f>
        <v/>
      </c>
    </row>
    <row r="58" spans="1:37" x14ac:dyDescent="0.35">
      <c r="A58">
        <v>56</v>
      </c>
      <c r="B58" t="str">
        <f t="shared" si="8"/>
        <v>186505354601832687</v>
      </c>
      <c r="C58">
        <v>1603921565</v>
      </c>
      <c r="D58" t="s">
        <v>38</v>
      </c>
      <c r="E58" t="s">
        <v>39</v>
      </c>
      <c r="F58" t="s">
        <v>40</v>
      </c>
      <c r="G58" t="s">
        <v>41</v>
      </c>
      <c r="H58" t="s">
        <v>42</v>
      </c>
      <c r="I58" t="s">
        <v>43</v>
      </c>
      <c r="J58" t="s">
        <v>63</v>
      </c>
      <c r="K58" t="s">
        <v>240</v>
      </c>
      <c r="L58" t="s">
        <v>241</v>
      </c>
      <c r="M58" t="s">
        <v>242</v>
      </c>
      <c r="N58" t="s">
        <v>49</v>
      </c>
      <c r="O58" t="s">
        <v>48</v>
      </c>
      <c r="P58" t="s">
        <v>48</v>
      </c>
      <c r="Q58" t="s">
        <v>57</v>
      </c>
      <c r="R58" t="s">
        <v>38</v>
      </c>
      <c r="S58" t="s">
        <v>243</v>
      </c>
      <c r="T58">
        <v>266175</v>
      </c>
      <c r="U58">
        <v>0</v>
      </c>
      <c r="V58" t="s">
        <v>49</v>
      </c>
      <c r="W58" t="str">
        <f t="shared" si="9"/>
        <v xml:space="preserve">  </v>
      </c>
      <c r="Y58" t="str">
        <f>"E Smith Contractors, LLC"</f>
        <v>E Smith Contractors, LLC</v>
      </c>
      <c r="Z58" t="str">
        <f>"1-315-751-8501"</f>
        <v>1-315-751-8501</v>
      </c>
      <c r="AA58" t="str">
        <f t="shared" si="17"/>
        <v xml:space="preserve">  </v>
      </c>
      <c r="AB58" t="str">
        <f t="shared" si="17"/>
        <v xml:space="preserve">  </v>
      </c>
      <c r="AC58" t="str">
        <f>"Syracuse"</f>
        <v>Syracuse</v>
      </c>
      <c r="AD58" t="str">
        <f>"New York"</f>
        <v>New York</v>
      </c>
      <c r="AE58" t="str">
        <f>"13203"</f>
        <v>13203</v>
      </c>
      <c r="AG58" t="str">
        <f>"JOC Small Business Pilot Program Regions 1, 2 &amp; 3 - #1000509999/CR514, 516, 518, 518 and 519;_x000D_
JOC Regions 1, 3, 4, 5, 6, 8, 9 and 10 - 1000509999/CR513, 515, 520, 521, 522, 523 and 524_x000D_
_x000D_
_x000D_
"</f>
        <v xml:space="preserve">JOC Small Business Pilot Program Regions 1, 2 &amp; 3 - #1000509999/CR514, 516, 518, 518 and 519;_x000D_
JOC Regions 1, 3, 4, 5, 6, 8, 9 and 10 - 1000509999/CR513, 515, 520, 521, 522, 523 and 524_x000D_
_x000D_
_x000D_
</v>
      </c>
      <c r="AH58" t="str">
        <f>""</f>
        <v/>
      </c>
      <c r="AI58" t="str">
        <f>"Is your firm a NYS-certified MBE?"</f>
        <v>Is your firm a NYS-certified MBE?</v>
      </c>
      <c r="AJ58" t="str">
        <f>"Is your firm a NYS-certified SVDOB?"</f>
        <v>Is your firm a NYS-certified SVDOB?</v>
      </c>
      <c r="AK58" t="str">
        <f>"Is your firm Currently a DASNY JOC Contractor?"</f>
        <v>Is your firm Currently a DASNY JOC Contractor?</v>
      </c>
    </row>
    <row r="59" spans="1:37" x14ac:dyDescent="0.35">
      <c r="A59">
        <v>57</v>
      </c>
      <c r="B59" t="str">
        <f t="shared" si="8"/>
        <v>186505354601832687</v>
      </c>
      <c r="C59">
        <v>1603921565</v>
      </c>
      <c r="D59" t="s">
        <v>38</v>
      </c>
      <c r="E59" t="s">
        <v>39</v>
      </c>
      <c r="F59" t="s">
        <v>40</v>
      </c>
      <c r="G59" t="s">
        <v>41</v>
      </c>
      <c r="H59" t="s">
        <v>42</v>
      </c>
      <c r="I59" t="s">
        <v>43</v>
      </c>
      <c r="J59" t="s">
        <v>63</v>
      </c>
      <c r="K59" t="s">
        <v>244</v>
      </c>
      <c r="L59" t="s">
        <v>245</v>
      </c>
      <c r="M59" t="s">
        <v>246</v>
      </c>
      <c r="N59" t="s">
        <v>49</v>
      </c>
      <c r="O59" t="s">
        <v>48</v>
      </c>
      <c r="P59" t="s">
        <v>48</v>
      </c>
      <c r="Q59" t="s">
        <v>247</v>
      </c>
      <c r="R59" t="s">
        <v>38</v>
      </c>
      <c r="S59" t="s">
        <v>248</v>
      </c>
      <c r="T59">
        <v>223560</v>
      </c>
      <c r="U59">
        <v>0</v>
      </c>
      <c r="V59" t="s">
        <v>49</v>
      </c>
      <c r="W59" t="str">
        <f t="shared" si="9"/>
        <v xml:space="preserve">  </v>
      </c>
      <c r="Y59" t="str">
        <f>"Quality Control Laboratories, LLC"</f>
        <v>Quality Control Laboratories, LLC</v>
      </c>
      <c r="Z59" t="str">
        <f>"1-7185456064"</f>
        <v>1-7185456064</v>
      </c>
      <c r="AA59" t="str">
        <f t="shared" si="17"/>
        <v xml:space="preserve">  </v>
      </c>
      <c r="AB59" t="str">
        <f t="shared" si="17"/>
        <v xml:space="preserve">  </v>
      </c>
      <c r="AC59" t="str">
        <f>"Woodside"</f>
        <v>Woodside</v>
      </c>
      <c r="AD59" t="str">
        <f>"NY"</f>
        <v>NY</v>
      </c>
      <c r="AE59" t="str">
        <f>"11435"</f>
        <v>11435</v>
      </c>
      <c r="AG59" t="str">
        <f>"Special Inspections"</f>
        <v>Special Inspections</v>
      </c>
      <c r="AH59" t="str">
        <f>""</f>
        <v/>
      </c>
      <c r="AI59" t="str">
        <f>"Is your firm a NYS-certified MBE?"</f>
        <v>Is your firm a NYS-certified MBE?</v>
      </c>
      <c r="AJ59" t="str">
        <f>"Is your firm a NYS-certified SVDOB?"</f>
        <v>Is your firm a NYS-certified SVDOB?</v>
      </c>
      <c r="AK59" t="str">
        <f>""</f>
        <v/>
      </c>
    </row>
    <row r="60" spans="1:37" x14ac:dyDescent="0.35">
      <c r="A60">
        <v>58</v>
      </c>
      <c r="B60" t="str">
        <f t="shared" si="8"/>
        <v>186505354601832687</v>
      </c>
      <c r="C60">
        <v>1603921565</v>
      </c>
      <c r="D60" t="s">
        <v>38</v>
      </c>
      <c r="E60" t="s">
        <v>39</v>
      </c>
      <c r="F60" t="s">
        <v>40</v>
      </c>
      <c r="G60" t="s">
        <v>41</v>
      </c>
      <c r="H60" t="s">
        <v>42</v>
      </c>
      <c r="I60" t="s">
        <v>43</v>
      </c>
      <c r="J60" t="s">
        <v>63</v>
      </c>
      <c r="K60" t="s">
        <v>249</v>
      </c>
      <c r="L60" t="s">
        <v>85</v>
      </c>
      <c r="M60" t="s">
        <v>250</v>
      </c>
      <c r="N60" t="s">
        <v>49</v>
      </c>
      <c r="O60" t="s">
        <v>48</v>
      </c>
      <c r="P60" t="s">
        <v>48</v>
      </c>
      <c r="Q60" t="s">
        <v>87</v>
      </c>
      <c r="R60" t="s">
        <v>38</v>
      </c>
      <c r="S60" t="s">
        <v>251</v>
      </c>
      <c r="T60">
        <v>772861</v>
      </c>
      <c r="U60">
        <v>0</v>
      </c>
      <c r="V60" t="s">
        <v>49</v>
      </c>
      <c r="W60" t="str">
        <f t="shared" si="9"/>
        <v xml:space="preserve">  </v>
      </c>
      <c r="Y60" t="str">
        <f>"Pro Con Group"</f>
        <v>Pro Con Group</v>
      </c>
      <c r="Z60" t="str">
        <f>"1-718-966-8080"</f>
        <v>1-718-966-8080</v>
      </c>
      <c r="AA60" t="str">
        <f t="shared" si="17"/>
        <v xml:space="preserve">  </v>
      </c>
      <c r="AB60" t="str">
        <f t="shared" si="17"/>
        <v xml:space="preserve">  </v>
      </c>
      <c r="AC60" t="str">
        <f>"Staten Island"</f>
        <v>Staten Island</v>
      </c>
      <c r="AD60" t="str">
        <f>"New York"</f>
        <v>New York</v>
      </c>
      <c r="AE60" t="str">
        <f>"10309"</f>
        <v>10309</v>
      </c>
      <c r="AG60" t="str">
        <f>"JOC"</f>
        <v>JOC</v>
      </c>
      <c r="AH60" t="str">
        <f>""</f>
        <v/>
      </c>
      <c r="AI60" t="str">
        <f>""</f>
        <v/>
      </c>
      <c r="AJ60" t="str">
        <f>""</f>
        <v/>
      </c>
      <c r="AK60" t="str">
        <f>"Is your firm Currently a DASNY JOC Contractor?"</f>
        <v>Is your firm Currently a DASNY JOC Contractor?</v>
      </c>
    </row>
    <row r="61" spans="1:37" x14ac:dyDescent="0.35">
      <c r="A61">
        <v>59</v>
      </c>
      <c r="B61" t="str">
        <f t="shared" si="8"/>
        <v>186505354601832687</v>
      </c>
      <c r="C61">
        <v>1603921565</v>
      </c>
      <c r="D61" t="s">
        <v>38</v>
      </c>
      <c r="E61" t="s">
        <v>39</v>
      </c>
      <c r="F61" t="s">
        <v>40</v>
      </c>
      <c r="G61" t="s">
        <v>41</v>
      </c>
      <c r="H61" t="s">
        <v>42</v>
      </c>
      <c r="I61" t="s">
        <v>43</v>
      </c>
      <c r="J61" t="s">
        <v>63</v>
      </c>
      <c r="K61" t="s">
        <v>252</v>
      </c>
      <c r="L61" t="s">
        <v>253</v>
      </c>
      <c r="M61" t="s">
        <v>254</v>
      </c>
      <c r="N61" t="s">
        <v>49</v>
      </c>
      <c r="O61" t="s">
        <v>48</v>
      </c>
      <c r="P61" t="s">
        <v>48</v>
      </c>
      <c r="Q61" t="s">
        <v>138</v>
      </c>
      <c r="R61" t="s">
        <v>38</v>
      </c>
      <c r="S61" t="s">
        <v>255</v>
      </c>
      <c r="T61">
        <v>861048</v>
      </c>
      <c r="U61">
        <v>0</v>
      </c>
      <c r="V61" t="s">
        <v>49</v>
      </c>
      <c r="W61" t="str">
        <f t="shared" si="9"/>
        <v xml:space="preserve">  </v>
      </c>
      <c r="Y61" t="str">
        <f>"Mac Fhionnghaile &amp; Sons Electrical Contracting Inc."</f>
        <v>Mac Fhionnghaile &amp; Sons Electrical Contracting Inc.</v>
      </c>
      <c r="Z61" t="str">
        <f>"1-7325008274"</f>
        <v>1-7325008274</v>
      </c>
      <c r="AA61" t="str">
        <f t="shared" si="17"/>
        <v xml:space="preserve">  </v>
      </c>
      <c r="AB61" t="str">
        <f t="shared" si="17"/>
        <v xml:space="preserve">  </v>
      </c>
      <c r="AC61" t="str">
        <f>"New York"</f>
        <v>New York</v>
      </c>
      <c r="AD61" t="str">
        <f>"NY"</f>
        <v>NY</v>
      </c>
      <c r="AE61" t="str">
        <f>"10004"</f>
        <v>10004</v>
      </c>
      <c r="AG61" t="str">
        <f>"Regions 1 CR 513 Electrical"</f>
        <v>Regions 1 CR 513 Electrical</v>
      </c>
      <c r="AH61" t="str">
        <f>""</f>
        <v/>
      </c>
      <c r="AI61" t="str">
        <f>""</f>
        <v/>
      </c>
      <c r="AJ61" t="str">
        <f>""</f>
        <v/>
      </c>
      <c r="AK61" t="str">
        <f>"Is your firm Currently a DASNY JOC Contractor?"</f>
        <v>Is your firm Currently a DASNY JOC Contractor?</v>
      </c>
    </row>
    <row r="62" spans="1:37" x14ac:dyDescent="0.35">
      <c r="A62">
        <v>60</v>
      </c>
      <c r="B62" t="str">
        <f t="shared" si="8"/>
        <v>186505354601832687</v>
      </c>
      <c r="C62">
        <v>1603921565</v>
      </c>
      <c r="D62" t="s">
        <v>38</v>
      </c>
      <c r="E62" t="s">
        <v>39</v>
      </c>
      <c r="F62" t="s">
        <v>40</v>
      </c>
      <c r="G62" t="s">
        <v>41</v>
      </c>
      <c r="H62" t="s">
        <v>42</v>
      </c>
      <c r="I62" t="s">
        <v>43</v>
      </c>
      <c r="J62" t="s">
        <v>63</v>
      </c>
      <c r="K62" t="s">
        <v>256</v>
      </c>
      <c r="L62" t="s">
        <v>257</v>
      </c>
      <c r="M62" t="s">
        <v>258</v>
      </c>
      <c r="N62" t="s">
        <v>49</v>
      </c>
      <c r="O62" t="s">
        <v>48</v>
      </c>
      <c r="P62" t="s">
        <v>48</v>
      </c>
      <c r="Q62" t="s">
        <v>159</v>
      </c>
      <c r="R62" t="s">
        <v>38</v>
      </c>
      <c r="S62" t="s">
        <v>259</v>
      </c>
      <c r="T62">
        <v>752686</v>
      </c>
      <c r="U62">
        <v>0</v>
      </c>
      <c r="V62" t="s">
        <v>49</v>
      </c>
      <c r="W62" t="str">
        <f t="shared" si="9"/>
        <v xml:space="preserve">  </v>
      </c>
      <c r="Y62" t="str">
        <f>"Thermo Hydronic Corp"</f>
        <v>Thermo Hydronic Corp</v>
      </c>
      <c r="Z62" t="str">
        <f>"1-7185283450"</f>
        <v>1-7185283450</v>
      </c>
      <c r="AA62" t="str">
        <f t="shared" si="17"/>
        <v xml:space="preserve">  </v>
      </c>
      <c r="AB62" t="str">
        <f t="shared" si="17"/>
        <v xml:space="preserve">  </v>
      </c>
      <c r="AC62" t="str">
        <f>"Laurelton"</f>
        <v>Laurelton</v>
      </c>
      <c r="AD62" t="str">
        <f>"New York"</f>
        <v>New York</v>
      </c>
      <c r="AE62" t="str">
        <f>"11413"</f>
        <v>11413</v>
      </c>
      <c r="AG62" t="str">
        <f>"3395509999 CR20, 1000509999/CR514, 516, 518, 518 and 519,1000509999/CR513, 515, 520, 521, 522, 523 and 524"</f>
        <v>3395509999 CR20, 1000509999/CR514, 516, 518, 518 and 519,1000509999/CR513, 515, 520, 521, 522, 523 and 524</v>
      </c>
      <c r="AH62" t="str">
        <f>""</f>
        <v/>
      </c>
      <c r="AI62" t="str">
        <f>"Is your firm a NYS-certified MBE?"</f>
        <v>Is your firm a NYS-certified MBE?</v>
      </c>
      <c r="AJ62" t="str">
        <f>"Is your firm a NYS-certified SVDOB?"</f>
        <v>Is your firm a NYS-certified SVDOB?</v>
      </c>
      <c r="AK62" t="str">
        <f>"Is your firm Currently a DASNY JOC Contractor?"</f>
        <v>Is your firm Currently a DASNY JOC Contractor?</v>
      </c>
    </row>
    <row r="63" spans="1:37" x14ac:dyDescent="0.35">
      <c r="A63">
        <v>61</v>
      </c>
      <c r="B63" t="str">
        <f t="shared" si="8"/>
        <v>186505354601832687</v>
      </c>
      <c r="C63">
        <v>1603921565</v>
      </c>
      <c r="D63" t="s">
        <v>38</v>
      </c>
      <c r="E63" t="s">
        <v>39</v>
      </c>
      <c r="F63" t="s">
        <v>40</v>
      </c>
      <c r="G63" t="s">
        <v>41</v>
      </c>
      <c r="H63" t="s">
        <v>42</v>
      </c>
      <c r="I63" t="s">
        <v>43</v>
      </c>
      <c r="J63" t="s">
        <v>63</v>
      </c>
      <c r="K63" t="s">
        <v>260</v>
      </c>
      <c r="L63" t="s">
        <v>261</v>
      </c>
      <c r="M63" t="s">
        <v>262</v>
      </c>
      <c r="N63" t="s">
        <v>49</v>
      </c>
      <c r="O63" t="s">
        <v>48</v>
      </c>
      <c r="P63" t="s">
        <v>48</v>
      </c>
      <c r="Q63" t="s">
        <v>263</v>
      </c>
      <c r="R63" t="s">
        <v>38</v>
      </c>
      <c r="S63" t="s">
        <v>264</v>
      </c>
      <c r="T63">
        <v>160848</v>
      </c>
      <c r="U63">
        <v>0</v>
      </c>
      <c r="V63" t="s">
        <v>49</v>
      </c>
      <c r="W63" t="str">
        <f t="shared" si="9"/>
        <v xml:space="preserve">  </v>
      </c>
      <c r="Y63" t="str">
        <f>"Projecs LLC"</f>
        <v>Projecs LLC</v>
      </c>
      <c r="Z63" t="str">
        <f>"1-9178971313"</f>
        <v>1-9178971313</v>
      </c>
      <c r="AA63" t="str">
        <f t="shared" si="17"/>
        <v xml:space="preserve">  </v>
      </c>
      <c r="AB63" t="str">
        <f t="shared" si="17"/>
        <v xml:space="preserve">  </v>
      </c>
      <c r="AC63" t="str">
        <f>"Orlando"</f>
        <v>Orlando</v>
      </c>
      <c r="AD63" t="str">
        <f>"Florida"</f>
        <v>Florida</v>
      </c>
      <c r="AE63" t="str">
        <f>"32801"</f>
        <v>32801</v>
      </c>
      <c r="AG63" t="str">
        <f>"Project control, leed consulting  , and BIM"</f>
        <v>Project control, leed consulting  , and BIM</v>
      </c>
      <c r="AH63" t="str">
        <f>""</f>
        <v/>
      </c>
      <c r="AI63" t="str">
        <f>""</f>
        <v/>
      </c>
      <c r="AJ63" t="str">
        <f>""</f>
        <v/>
      </c>
      <c r="AK63" t="str">
        <f>""</f>
        <v/>
      </c>
    </row>
    <row r="64" spans="1:37" x14ac:dyDescent="0.35">
      <c r="A64">
        <v>62</v>
      </c>
      <c r="B64" t="str">
        <f t="shared" si="8"/>
        <v>186505354601832687</v>
      </c>
      <c r="C64">
        <v>1603921565</v>
      </c>
      <c r="D64" t="s">
        <v>38</v>
      </c>
      <c r="E64" t="s">
        <v>39</v>
      </c>
      <c r="F64" t="s">
        <v>40</v>
      </c>
      <c r="G64" t="s">
        <v>41</v>
      </c>
      <c r="H64" t="s">
        <v>42</v>
      </c>
      <c r="I64" t="s">
        <v>43</v>
      </c>
      <c r="J64" t="s">
        <v>63</v>
      </c>
      <c r="K64" t="s">
        <v>265</v>
      </c>
      <c r="L64" t="s">
        <v>266</v>
      </c>
      <c r="M64" t="s">
        <v>267</v>
      </c>
      <c r="N64" t="s">
        <v>49</v>
      </c>
      <c r="O64" t="s">
        <v>48</v>
      </c>
      <c r="P64" t="s">
        <v>48</v>
      </c>
      <c r="Q64" t="s">
        <v>57</v>
      </c>
      <c r="R64" t="s">
        <v>38</v>
      </c>
      <c r="S64" t="s">
        <v>268</v>
      </c>
      <c r="T64">
        <v>652559</v>
      </c>
      <c r="U64">
        <v>0</v>
      </c>
      <c r="V64" t="s">
        <v>49</v>
      </c>
      <c r="W64" t="str">
        <f t="shared" si="9"/>
        <v xml:space="preserve">  </v>
      </c>
      <c r="Y64" t="str">
        <f>"La'Tonia Mertica 'Communications &amp; Creatives Specialist'"</f>
        <v>La'Tonia Mertica 'Communications &amp; Creatives Specialist'</v>
      </c>
      <c r="Z64" t="str">
        <f>"1-3158108098"</f>
        <v>1-3158108098</v>
      </c>
      <c r="AA64" t="str">
        <f t="shared" si="17"/>
        <v xml:space="preserve">  </v>
      </c>
      <c r="AB64" t="str">
        <f t="shared" si="17"/>
        <v xml:space="preserve">  </v>
      </c>
      <c r="AC64" t="str">
        <f>"Syracuse"</f>
        <v>Syracuse</v>
      </c>
      <c r="AD64" t="str">
        <f>"NY"</f>
        <v>NY</v>
      </c>
      <c r="AE64" t="str">
        <f>"13205"</f>
        <v>13205</v>
      </c>
      <c r="AG64" t="s">
        <v>269</v>
      </c>
      <c r="AH64" t="str">
        <f>""</f>
        <v/>
      </c>
      <c r="AI64" t="str">
        <f>""</f>
        <v/>
      </c>
      <c r="AJ64" t="str">
        <f>""</f>
        <v/>
      </c>
      <c r="AK64" t="str">
        <f>""</f>
        <v/>
      </c>
    </row>
    <row r="65" spans="1:37" x14ac:dyDescent="0.35">
      <c r="A65">
        <v>63</v>
      </c>
      <c r="B65" t="str">
        <f t="shared" si="8"/>
        <v>186505354601832687</v>
      </c>
      <c r="C65">
        <v>1603921565</v>
      </c>
      <c r="D65" t="s">
        <v>38</v>
      </c>
      <c r="E65" t="s">
        <v>39</v>
      </c>
      <c r="F65" t="s">
        <v>40</v>
      </c>
      <c r="G65" t="s">
        <v>41</v>
      </c>
      <c r="H65" t="s">
        <v>42</v>
      </c>
      <c r="I65" t="s">
        <v>43</v>
      </c>
      <c r="J65" t="s">
        <v>63</v>
      </c>
      <c r="K65" t="s">
        <v>270</v>
      </c>
      <c r="L65" t="s">
        <v>271</v>
      </c>
      <c r="M65" t="s">
        <v>272</v>
      </c>
      <c r="N65" t="s">
        <v>49</v>
      </c>
      <c r="O65" t="s">
        <v>48</v>
      </c>
      <c r="P65" t="s">
        <v>48</v>
      </c>
      <c r="Q65" t="s">
        <v>183</v>
      </c>
      <c r="R65" t="s">
        <v>38</v>
      </c>
      <c r="S65" t="s">
        <v>273</v>
      </c>
      <c r="T65">
        <v>751763</v>
      </c>
      <c r="U65">
        <v>0</v>
      </c>
      <c r="V65" t="s">
        <v>49</v>
      </c>
      <c r="W65" t="str">
        <f t="shared" si="9"/>
        <v xml:space="preserve">  </v>
      </c>
      <c r="Y65" t="str">
        <f>"Babylonconstructionco.com"</f>
        <v>Babylonconstructionco.com</v>
      </c>
      <c r="Z65" t="str">
        <f>"1-5164774680"</f>
        <v>1-5164774680</v>
      </c>
      <c r="AA65" t="str">
        <f t="shared" si="17"/>
        <v xml:space="preserve">  </v>
      </c>
      <c r="AB65" t="str">
        <f t="shared" si="17"/>
        <v xml:space="preserve">  </v>
      </c>
      <c r="AC65" t="str">
        <f>"Babylon"</f>
        <v>Babylon</v>
      </c>
      <c r="AD65" t="str">
        <f>"NY"</f>
        <v>NY</v>
      </c>
      <c r="AE65" t="str">
        <f>"11704"</f>
        <v>11704</v>
      </c>
      <c r="AG65" t="str">
        <f>"Sidewalk ,and Landscaping Work"</f>
        <v>Sidewalk ,and Landscaping Work</v>
      </c>
      <c r="AH65" t="str">
        <f>""</f>
        <v/>
      </c>
      <c r="AI65" t="str">
        <f>""</f>
        <v/>
      </c>
      <c r="AJ65" t="str">
        <f>""</f>
        <v/>
      </c>
      <c r="AK65" t="str">
        <f>""</f>
        <v/>
      </c>
    </row>
    <row r="66" spans="1:37" x14ac:dyDescent="0.35">
      <c r="A66">
        <v>64</v>
      </c>
      <c r="B66" t="str">
        <f t="shared" si="8"/>
        <v>186505354601832687</v>
      </c>
      <c r="C66">
        <v>1603921565</v>
      </c>
      <c r="D66" t="s">
        <v>38</v>
      </c>
      <c r="E66" t="s">
        <v>39</v>
      </c>
      <c r="F66" t="s">
        <v>40</v>
      </c>
      <c r="G66" t="s">
        <v>41</v>
      </c>
      <c r="H66" t="s">
        <v>42</v>
      </c>
      <c r="I66" t="s">
        <v>43</v>
      </c>
      <c r="J66" t="s">
        <v>63</v>
      </c>
      <c r="K66" t="s">
        <v>274</v>
      </c>
      <c r="L66" t="s">
        <v>275</v>
      </c>
      <c r="M66" t="s">
        <v>276</v>
      </c>
      <c r="N66" t="s">
        <v>49</v>
      </c>
      <c r="O66" t="s">
        <v>48</v>
      </c>
      <c r="P66" t="s">
        <v>48</v>
      </c>
      <c r="Q66" t="s">
        <v>277</v>
      </c>
      <c r="R66" t="s">
        <v>38</v>
      </c>
      <c r="S66" t="s">
        <v>278</v>
      </c>
      <c r="T66">
        <v>620723</v>
      </c>
      <c r="U66">
        <v>0</v>
      </c>
      <c r="V66" t="s">
        <v>49</v>
      </c>
      <c r="W66" t="str">
        <f t="shared" si="9"/>
        <v xml:space="preserve">  </v>
      </c>
      <c r="Y66" t="str">
        <f>"Nest Wireless Global"</f>
        <v>Nest Wireless Global</v>
      </c>
      <c r="Z66" t="str">
        <f>"1-9083346060"</f>
        <v>1-9083346060</v>
      </c>
      <c r="AA66" t="str">
        <f t="shared" si="17"/>
        <v xml:space="preserve">  </v>
      </c>
      <c r="AB66" t="str">
        <f t="shared" si="17"/>
        <v xml:space="preserve">  </v>
      </c>
      <c r="AC66" t="str">
        <f>"Flushing"</f>
        <v>Flushing</v>
      </c>
      <c r="AD66" t="str">
        <f>"NY"</f>
        <v>NY</v>
      </c>
      <c r="AE66" t="str">
        <f>"11355"</f>
        <v>11355</v>
      </c>
      <c r="AG66" t="str">
        <f>"wiring/cabling; CCTV; Access Control; Telecom; low voltage"</f>
        <v>wiring/cabling; CCTV; Access Control; Telecom; low voltage</v>
      </c>
      <c r="AH66" t="str">
        <f>"Is your firm a NYS-certified WBE?"</f>
        <v>Is your firm a NYS-certified WBE?</v>
      </c>
      <c r="AI66" t="str">
        <f>"Is your firm a NYS-certified MBE?"</f>
        <v>Is your firm a NYS-certified MBE?</v>
      </c>
      <c r="AJ66" t="str">
        <f>""</f>
        <v/>
      </c>
      <c r="AK66" t="str">
        <f>""</f>
        <v/>
      </c>
    </row>
    <row r="67" spans="1:37" x14ac:dyDescent="0.35">
      <c r="A67">
        <v>65</v>
      </c>
      <c r="B67" t="str">
        <f t="shared" ref="B67:B98" si="19">"186505354601832687"</f>
        <v>186505354601832687</v>
      </c>
      <c r="C67">
        <v>1603921565</v>
      </c>
      <c r="D67" t="s">
        <v>38</v>
      </c>
      <c r="E67" t="s">
        <v>39</v>
      </c>
      <c r="F67" t="s">
        <v>40</v>
      </c>
      <c r="G67" t="s">
        <v>41</v>
      </c>
      <c r="H67" t="s">
        <v>42</v>
      </c>
      <c r="I67" t="s">
        <v>43</v>
      </c>
      <c r="J67" t="s">
        <v>63</v>
      </c>
      <c r="K67" t="s">
        <v>192</v>
      </c>
      <c r="L67" t="s">
        <v>279</v>
      </c>
      <c r="M67" t="s">
        <v>280</v>
      </c>
      <c r="N67" t="s">
        <v>49</v>
      </c>
      <c r="O67" t="s">
        <v>48</v>
      </c>
      <c r="P67" t="s">
        <v>48</v>
      </c>
      <c r="Q67" t="s">
        <v>164</v>
      </c>
      <c r="R67" t="s">
        <v>38</v>
      </c>
      <c r="S67" t="s">
        <v>281</v>
      </c>
      <c r="T67">
        <v>675658</v>
      </c>
      <c r="U67">
        <v>0</v>
      </c>
      <c r="V67" t="s">
        <v>49</v>
      </c>
      <c r="W67" t="str">
        <f t="shared" ref="W67:W98" si="20">"  "</f>
        <v xml:space="preserve">  </v>
      </c>
      <c r="Y67" t="str">
        <f>"CID CONSTRUCTION SERVICES"</f>
        <v>CID CONSTRUCTION SERVICES</v>
      </c>
      <c r="Z67" t="str">
        <f>"1-9084368403"</f>
        <v>1-9084368403</v>
      </c>
      <c r="AA67" t="str">
        <f t="shared" si="17"/>
        <v xml:space="preserve">  </v>
      </c>
      <c r="AB67" t="str">
        <f t="shared" si="17"/>
        <v xml:space="preserve">  </v>
      </c>
      <c r="AC67" t="str">
        <f>"Lodi"</f>
        <v>Lodi</v>
      </c>
      <c r="AD67" t="str">
        <f>"New Jersey"</f>
        <v>New Jersey</v>
      </c>
      <c r="AE67" t="str">
        <f>"07644"</f>
        <v>07644</v>
      </c>
      <c r="AG67" t="str">
        <f>"Job Order Contract"</f>
        <v>Job Order Contract</v>
      </c>
      <c r="AH67" t="str">
        <f>""</f>
        <v/>
      </c>
      <c r="AI67" t="str">
        <f>""</f>
        <v/>
      </c>
      <c r="AJ67" t="str">
        <f>""</f>
        <v/>
      </c>
      <c r="AK67" t="str">
        <f>""</f>
        <v/>
      </c>
    </row>
    <row r="68" spans="1:37" x14ac:dyDescent="0.35">
      <c r="A68">
        <v>66</v>
      </c>
      <c r="B68" t="str">
        <f t="shared" si="19"/>
        <v>186505354601832687</v>
      </c>
      <c r="C68">
        <v>1603921565</v>
      </c>
      <c r="D68" t="s">
        <v>38</v>
      </c>
      <c r="E68" t="s">
        <v>39</v>
      </c>
      <c r="F68" t="s">
        <v>40</v>
      </c>
      <c r="G68" t="s">
        <v>41</v>
      </c>
      <c r="H68" t="s">
        <v>42</v>
      </c>
      <c r="I68" t="s">
        <v>43</v>
      </c>
      <c r="J68" t="s">
        <v>63</v>
      </c>
      <c r="K68" t="s">
        <v>282</v>
      </c>
      <c r="L68" t="s">
        <v>283</v>
      </c>
      <c r="M68" t="s">
        <v>284</v>
      </c>
      <c r="N68" t="s">
        <v>49</v>
      </c>
      <c r="O68" t="s">
        <v>48</v>
      </c>
      <c r="P68" t="s">
        <v>48</v>
      </c>
      <c r="Q68" t="s">
        <v>41</v>
      </c>
      <c r="R68" t="s">
        <v>38</v>
      </c>
      <c r="S68" t="s">
        <v>285</v>
      </c>
      <c r="T68">
        <v>500175</v>
      </c>
      <c r="U68">
        <v>0</v>
      </c>
      <c r="V68" t="s">
        <v>49</v>
      </c>
      <c r="W68" t="str">
        <f t="shared" si="20"/>
        <v xml:space="preserve">  </v>
      </c>
      <c r="Y68" t="str">
        <f>"Voltamp Electrical Contactors, Inc"</f>
        <v>Voltamp Electrical Contactors, Inc</v>
      </c>
      <c r="Z68" t="str">
        <f>"1-7188747500"</f>
        <v>1-7188747500</v>
      </c>
      <c r="AA68" t="str">
        <f t="shared" si="17"/>
        <v xml:space="preserve">  </v>
      </c>
      <c r="AB68" t="str">
        <f t="shared" si="17"/>
        <v xml:space="preserve">  </v>
      </c>
      <c r="AC68" t="str">
        <f>"New Hyde Park"</f>
        <v>New Hyde Park</v>
      </c>
      <c r="AD68" t="str">
        <f>"NEW YORK"</f>
        <v>NEW YORK</v>
      </c>
      <c r="AE68" t="str">
        <f>"11040"</f>
        <v>11040</v>
      </c>
      <c r="AG68" t="str">
        <f>"electrical"</f>
        <v>electrical</v>
      </c>
      <c r="AH68" t="str">
        <f>""</f>
        <v/>
      </c>
      <c r="AI68" t="str">
        <f>"Is your firm a NYS-certified MBE?"</f>
        <v>Is your firm a NYS-certified MBE?</v>
      </c>
      <c r="AJ68" t="str">
        <f>""</f>
        <v/>
      </c>
      <c r="AK68" t="str">
        <f>""</f>
        <v/>
      </c>
    </row>
    <row r="69" spans="1:37" x14ac:dyDescent="0.35">
      <c r="A69">
        <v>67</v>
      </c>
      <c r="B69" t="str">
        <f t="shared" si="19"/>
        <v>186505354601832687</v>
      </c>
      <c r="C69">
        <v>1603921565</v>
      </c>
      <c r="D69" t="s">
        <v>38</v>
      </c>
      <c r="E69" t="s">
        <v>39</v>
      </c>
      <c r="F69" t="s">
        <v>40</v>
      </c>
      <c r="G69" t="s">
        <v>41</v>
      </c>
      <c r="H69" t="s">
        <v>42</v>
      </c>
      <c r="I69" t="s">
        <v>43</v>
      </c>
      <c r="J69" t="s">
        <v>63</v>
      </c>
      <c r="K69" t="s">
        <v>286</v>
      </c>
      <c r="L69" t="s">
        <v>287</v>
      </c>
      <c r="M69" t="s">
        <v>288</v>
      </c>
      <c r="N69" t="s">
        <v>49</v>
      </c>
      <c r="O69" t="s">
        <v>48</v>
      </c>
      <c r="P69" t="s">
        <v>48</v>
      </c>
      <c r="Q69" t="s">
        <v>50</v>
      </c>
      <c r="R69" t="s">
        <v>38</v>
      </c>
      <c r="S69" t="s">
        <v>289</v>
      </c>
      <c r="T69">
        <v>200153</v>
      </c>
      <c r="U69">
        <v>0</v>
      </c>
      <c r="V69" t="s">
        <v>49</v>
      </c>
      <c r="W69" t="str">
        <f t="shared" si="20"/>
        <v xml:space="preserve">  </v>
      </c>
      <c r="Y69" t="str">
        <f>"Harry Construction Group Corp."</f>
        <v>Harry Construction Group Corp.</v>
      </c>
      <c r="Z69" t="str">
        <f>"1-718-850-7600"</f>
        <v>1-718-850-7600</v>
      </c>
      <c r="AA69" t="str">
        <f t="shared" ref="AA69:AB88" si="21">"  "</f>
        <v xml:space="preserve">  </v>
      </c>
      <c r="AB69" t="str">
        <f t="shared" si="21"/>
        <v xml:space="preserve">  </v>
      </c>
      <c r="AC69" t="str">
        <f>"Richmond Hill"</f>
        <v>Richmond Hill</v>
      </c>
      <c r="AD69" t="str">
        <f>"NY"</f>
        <v>NY</v>
      </c>
      <c r="AE69" t="str">
        <f>"11418"</f>
        <v>11418</v>
      </c>
      <c r="AG69" t="str">
        <f>"Job Order Contracting Small Business Pilot Program Regions 1, 2 and 3"</f>
        <v>Job Order Contracting Small Business Pilot Program Regions 1, 2 and 3</v>
      </c>
      <c r="AH69" t="str">
        <f>""</f>
        <v/>
      </c>
      <c r="AI69" t="str">
        <f>"Is your firm a NYS-certified MBE?"</f>
        <v>Is your firm a NYS-certified MBE?</v>
      </c>
      <c r="AJ69" t="str">
        <f>""</f>
        <v/>
      </c>
      <c r="AK69" t="str">
        <f>""</f>
        <v/>
      </c>
    </row>
    <row r="70" spans="1:37" x14ac:dyDescent="0.35">
      <c r="A70">
        <v>68</v>
      </c>
      <c r="B70" t="str">
        <f t="shared" si="19"/>
        <v>186505354601832687</v>
      </c>
      <c r="C70">
        <v>1603921565</v>
      </c>
      <c r="D70" t="s">
        <v>38</v>
      </c>
      <c r="E70" t="s">
        <v>39</v>
      </c>
      <c r="F70" t="s">
        <v>40</v>
      </c>
      <c r="G70" t="s">
        <v>41</v>
      </c>
      <c r="H70" t="s">
        <v>42</v>
      </c>
      <c r="I70" t="s">
        <v>43</v>
      </c>
      <c r="J70" t="s">
        <v>63</v>
      </c>
      <c r="K70" t="s">
        <v>286</v>
      </c>
      <c r="L70" t="s">
        <v>287</v>
      </c>
      <c r="M70" t="s">
        <v>288</v>
      </c>
      <c r="N70" t="s">
        <v>49</v>
      </c>
      <c r="O70" t="s">
        <v>48</v>
      </c>
      <c r="P70" t="s">
        <v>48</v>
      </c>
      <c r="Q70" t="s">
        <v>290</v>
      </c>
      <c r="R70" t="s">
        <v>38</v>
      </c>
      <c r="S70" t="s">
        <v>289</v>
      </c>
      <c r="T70">
        <v>200153</v>
      </c>
      <c r="U70">
        <v>0</v>
      </c>
      <c r="V70" t="s">
        <v>49</v>
      </c>
      <c r="W70" t="str">
        <f t="shared" si="20"/>
        <v xml:space="preserve">  </v>
      </c>
      <c r="Y70" t="str">
        <f>"Harry Construction Group Corp."</f>
        <v>Harry Construction Group Corp.</v>
      </c>
      <c r="Z70" t="str">
        <f>"1-718-850-7600"</f>
        <v>1-718-850-7600</v>
      </c>
      <c r="AA70" t="str">
        <f t="shared" si="21"/>
        <v xml:space="preserve">  </v>
      </c>
      <c r="AB70" t="str">
        <f t="shared" si="21"/>
        <v xml:space="preserve">  </v>
      </c>
      <c r="AC70" t="str">
        <f>"Richmond Hill"</f>
        <v>Richmond Hill</v>
      </c>
      <c r="AD70" t="str">
        <f>"NY"</f>
        <v>NY</v>
      </c>
      <c r="AE70" t="str">
        <f>"11418"</f>
        <v>11418</v>
      </c>
      <c r="AG70" t="str">
        <f>"Job Order Contracting Small Business Pilot Program Regions 1, 2 and 3"</f>
        <v>Job Order Contracting Small Business Pilot Program Regions 1, 2 and 3</v>
      </c>
      <c r="AH70" t="str">
        <f>""</f>
        <v/>
      </c>
      <c r="AI70" t="str">
        <f>"Is your firm a NYS-certified MBE?"</f>
        <v>Is your firm a NYS-certified MBE?</v>
      </c>
      <c r="AJ70" t="str">
        <f>""</f>
        <v/>
      </c>
      <c r="AK70" t="str">
        <f>""</f>
        <v/>
      </c>
    </row>
    <row r="71" spans="1:37" x14ac:dyDescent="0.35">
      <c r="A71">
        <v>69</v>
      </c>
      <c r="B71" t="str">
        <f t="shared" si="19"/>
        <v>186505354601832687</v>
      </c>
      <c r="C71">
        <v>1603921565</v>
      </c>
      <c r="D71" t="s">
        <v>38</v>
      </c>
      <c r="E71" t="s">
        <v>39</v>
      </c>
      <c r="F71" t="s">
        <v>40</v>
      </c>
      <c r="G71" t="s">
        <v>41</v>
      </c>
      <c r="H71" t="s">
        <v>42</v>
      </c>
      <c r="I71" t="s">
        <v>43</v>
      </c>
      <c r="J71" t="s">
        <v>63</v>
      </c>
      <c r="K71" t="s">
        <v>274</v>
      </c>
      <c r="L71" t="s">
        <v>291</v>
      </c>
      <c r="M71" t="s">
        <v>292</v>
      </c>
      <c r="N71" t="s">
        <v>49</v>
      </c>
      <c r="O71" t="s">
        <v>48</v>
      </c>
      <c r="P71" t="s">
        <v>48</v>
      </c>
      <c r="Q71" t="s">
        <v>173</v>
      </c>
      <c r="R71" t="s">
        <v>38</v>
      </c>
      <c r="S71" t="s">
        <v>293</v>
      </c>
      <c r="T71">
        <v>615550</v>
      </c>
      <c r="U71">
        <v>0</v>
      </c>
      <c r="V71" t="s">
        <v>49</v>
      </c>
      <c r="W71" t="str">
        <f t="shared" si="20"/>
        <v xml:space="preserve">  </v>
      </c>
      <c r="Y71" t="str">
        <f>"E. Smith Contractors LLC."</f>
        <v>E. Smith Contractors LLC.</v>
      </c>
      <c r="Z71" t="str">
        <f>"1-3158027704"</f>
        <v>1-3158027704</v>
      </c>
      <c r="AA71" t="str">
        <f t="shared" si="21"/>
        <v xml:space="preserve">  </v>
      </c>
      <c r="AB71" t="str">
        <f t="shared" si="21"/>
        <v xml:space="preserve">  </v>
      </c>
      <c r="AC71" t="str">
        <f>"Syracuse"</f>
        <v>Syracuse</v>
      </c>
      <c r="AD71" t="str">
        <f>"NY"</f>
        <v>NY</v>
      </c>
      <c r="AE71" t="str">
        <f>"13203"</f>
        <v>13203</v>
      </c>
      <c r="AG71" t="str">
        <f>"Multiple"</f>
        <v>Multiple</v>
      </c>
      <c r="AH71" t="str">
        <f>""</f>
        <v/>
      </c>
      <c r="AI71" t="str">
        <f>""</f>
        <v/>
      </c>
      <c r="AJ71" t="str">
        <f>""</f>
        <v/>
      </c>
      <c r="AK71" t="str">
        <f>""</f>
        <v/>
      </c>
    </row>
    <row r="72" spans="1:37" x14ac:dyDescent="0.35">
      <c r="A72">
        <v>70</v>
      </c>
      <c r="B72" t="str">
        <f t="shared" si="19"/>
        <v>186505354601832687</v>
      </c>
      <c r="C72">
        <v>1603921565</v>
      </c>
      <c r="D72" t="s">
        <v>38</v>
      </c>
      <c r="E72" t="s">
        <v>39</v>
      </c>
      <c r="F72" t="s">
        <v>40</v>
      </c>
      <c r="G72" t="s">
        <v>41</v>
      </c>
      <c r="H72" t="s">
        <v>42</v>
      </c>
      <c r="I72" t="s">
        <v>43</v>
      </c>
      <c r="J72" t="s">
        <v>63</v>
      </c>
      <c r="K72" t="s">
        <v>294</v>
      </c>
      <c r="L72" t="s">
        <v>295</v>
      </c>
      <c r="M72" t="s">
        <v>296</v>
      </c>
      <c r="N72" t="s">
        <v>49</v>
      </c>
      <c r="O72" t="s">
        <v>48</v>
      </c>
      <c r="P72" t="s">
        <v>48</v>
      </c>
      <c r="Q72" t="s">
        <v>62</v>
      </c>
      <c r="R72" t="s">
        <v>38</v>
      </c>
      <c r="S72" t="s">
        <v>297</v>
      </c>
      <c r="T72">
        <v>130364</v>
      </c>
      <c r="U72">
        <v>0</v>
      </c>
      <c r="V72" t="s">
        <v>49</v>
      </c>
      <c r="W72" t="str">
        <f t="shared" si="20"/>
        <v xml:space="preserve">  </v>
      </c>
      <c r="Y72" t="str">
        <f>"Redd Electrical Services Inc."</f>
        <v>Redd Electrical Services Inc.</v>
      </c>
      <c r="Z72" t="str">
        <f>"1-3475387097"</f>
        <v>1-3475387097</v>
      </c>
      <c r="AA72" t="str">
        <f t="shared" si="21"/>
        <v xml:space="preserve">  </v>
      </c>
      <c r="AB72" t="str">
        <f t="shared" si="21"/>
        <v xml:space="preserve">  </v>
      </c>
      <c r="AC72" t="str">
        <f>"Brooklyn"</f>
        <v>Brooklyn</v>
      </c>
      <c r="AD72" t="str">
        <f>"NY"</f>
        <v>NY</v>
      </c>
      <c r="AE72" t="str">
        <f>"11216"</f>
        <v>11216</v>
      </c>
      <c r="AG72" t="str">
        <f>"Electrical"</f>
        <v>Electrical</v>
      </c>
      <c r="AH72" t="str">
        <f>""</f>
        <v/>
      </c>
      <c r="AI72" t="str">
        <f t="shared" ref="AI72:AI78" si="22">"Is your firm a NYS-certified MBE?"</f>
        <v>Is your firm a NYS-certified MBE?</v>
      </c>
      <c r="AJ72" t="str">
        <f>""</f>
        <v/>
      </c>
      <c r="AK72" t="str">
        <f>"Is your firm Currently a DASNY JOC Contractor?"</f>
        <v>Is your firm Currently a DASNY JOC Contractor?</v>
      </c>
    </row>
    <row r="73" spans="1:37" x14ac:dyDescent="0.35">
      <c r="A73">
        <v>71</v>
      </c>
      <c r="B73" t="str">
        <f t="shared" si="19"/>
        <v>186505354601832687</v>
      </c>
      <c r="C73">
        <v>1603921565</v>
      </c>
      <c r="D73" t="s">
        <v>38</v>
      </c>
      <c r="E73" t="s">
        <v>39</v>
      </c>
      <c r="F73" t="s">
        <v>40</v>
      </c>
      <c r="G73" t="s">
        <v>41</v>
      </c>
      <c r="H73" t="s">
        <v>42</v>
      </c>
      <c r="I73" t="s">
        <v>43</v>
      </c>
      <c r="J73" t="s">
        <v>63</v>
      </c>
      <c r="K73" t="s">
        <v>298</v>
      </c>
      <c r="L73" t="s">
        <v>299</v>
      </c>
      <c r="M73" t="s">
        <v>300</v>
      </c>
      <c r="N73" t="s">
        <v>49</v>
      </c>
      <c r="O73" t="s">
        <v>48</v>
      </c>
      <c r="P73" t="s">
        <v>48</v>
      </c>
      <c r="Q73" t="s">
        <v>41</v>
      </c>
      <c r="R73" t="s">
        <v>38</v>
      </c>
      <c r="S73" t="s">
        <v>301</v>
      </c>
      <c r="T73">
        <v>339876</v>
      </c>
      <c r="U73">
        <v>0</v>
      </c>
      <c r="V73" t="s">
        <v>49</v>
      </c>
      <c r="W73" t="str">
        <f t="shared" si="20"/>
        <v xml:space="preserve">  </v>
      </c>
      <c r="Y73" t="str">
        <f>"Sundeep Construction Co., Inc."</f>
        <v>Sundeep Construction Co., Inc.</v>
      </c>
      <c r="Z73" t="str">
        <f>"1-7182228916"</f>
        <v>1-7182228916</v>
      </c>
      <c r="AA73" t="str">
        <f t="shared" si="21"/>
        <v xml:space="preserve">  </v>
      </c>
      <c r="AB73" t="str">
        <f t="shared" si="21"/>
        <v xml:space="preserve">  </v>
      </c>
      <c r="AC73" t="str">
        <f>"Brooklyn"</f>
        <v>Brooklyn</v>
      </c>
      <c r="AD73" t="str">
        <f>"NY"</f>
        <v>NY</v>
      </c>
      <c r="AE73" t="str">
        <f>"11205"</f>
        <v>11205</v>
      </c>
      <c r="AG73" t="str">
        <f>"General Construction"</f>
        <v>General Construction</v>
      </c>
      <c r="AH73" t="str">
        <f>""</f>
        <v/>
      </c>
      <c r="AI73" t="str">
        <f t="shared" si="22"/>
        <v>Is your firm a NYS-certified MBE?</v>
      </c>
      <c r="AJ73" t="str">
        <f>""</f>
        <v/>
      </c>
      <c r="AK73" t="str">
        <f>""</f>
        <v/>
      </c>
    </row>
    <row r="74" spans="1:37" x14ac:dyDescent="0.35">
      <c r="A74">
        <v>72</v>
      </c>
      <c r="B74" t="str">
        <f t="shared" si="19"/>
        <v>186505354601832687</v>
      </c>
      <c r="C74">
        <v>1603921565</v>
      </c>
      <c r="D74" t="s">
        <v>38</v>
      </c>
      <c r="E74" t="s">
        <v>39</v>
      </c>
      <c r="F74" t="s">
        <v>40</v>
      </c>
      <c r="G74" t="s">
        <v>41</v>
      </c>
      <c r="H74" t="s">
        <v>42</v>
      </c>
      <c r="I74" t="s">
        <v>43</v>
      </c>
      <c r="J74" t="s">
        <v>63</v>
      </c>
      <c r="K74" t="s">
        <v>302</v>
      </c>
      <c r="L74" t="s">
        <v>303</v>
      </c>
      <c r="M74" t="s">
        <v>304</v>
      </c>
      <c r="N74" t="s">
        <v>49</v>
      </c>
      <c r="O74" t="s">
        <v>48</v>
      </c>
      <c r="P74" t="s">
        <v>48</v>
      </c>
      <c r="Q74" t="s">
        <v>82</v>
      </c>
      <c r="R74" t="s">
        <v>38</v>
      </c>
      <c r="S74" t="s">
        <v>305</v>
      </c>
      <c r="T74">
        <v>656175</v>
      </c>
      <c r="U74">
        <v>0</v>
      </c>
      <c r="V74" t="s">
        <v>49</v>
      </c>
      <c r="W74" t="str">
        <f t="shared" si="20"/>
        <v xml:space="preserve">  </v>
      </c>
      <c r="Y74" t="str">
        <f>"Sherpa Construction Consulting, LLC"</f>
        <v>Sherpa Construction Consulting, LLC</v>
      </c>
      <c r="Z74" t="str">
        <f>"1-6463395785"</f>
        <v>1-6463395785</v>
      </c>
      <c r="AA74" t="str">
        <f t="shared" si="21"/>
        <v xml:space="preserve">  </v>
      </c>
      <c r="AB74" t="str">
        <f t="shared" si="21"/>
        <v xml:space="preserve">  </v>
      </c>
      <c r="AC74" t="str">
        <f>"Woodside"</f>
        <v>Woodside</v>
      </c>
      <c r="AD74" t="str">
        <f>"New York"</f>
        <v>New York</v>
      </c>
      <c r="AE74" t="str">
        <f>"11377"</f>
        <v>11377</v>
      </c>
      <c r="AG74" t="str">
        <f>"1000509999/CR514, 516, 518, 518 and 519"</f>
        <v>1000509999/CR514, 516, 518, 518 and 519</v>
      </c>
      <c r="AH74" t="str">
        <f>""</f>
        <v/>
      </c>
      <c r="AI74" t="str">
        <f t="shared" si="22"/>
        <v>Is your firm a NYS-certified MBE?</v>
      </c>
      <c r="AJ74" t="str">
        <f>""</f>
        <v/>
      </c>
      <c r="AK74" t="str">
        <f>""</f>
        <v/>
      </c>
    </row>
    <row r="75" spans="1:37" x14ac:dyDescent="0.35">
      <c r="A75">
        <v>73</v>
      </c>
      <c r="B75" t="str">
        <f t="shared" si="19"/>
        <v>186505354601832687</v>
      </c>
      <c r="C75">
        <v>1603921565</v>
      </c>
      <c r="D75" t="s">
        <v>38</v>
      </c>
      <c r="E75" t="s">
        <v>39</v>
      </c>
      <c r="F75" t="s">
        <v>40</v>
      </c>
      <c r="G75" t="s">
        <v>41</v>
      </c>
      <c r="H75" t="s">
        <v>42</v>
      </c>
      <c r="I75" t="s">
        <v>43</v>
      </c>
      <c r="J75" t="s">
        <v>63</v>
      </c>
      <c r="K75" t="s">
        <v>306</v>
      </c>
      <c r="L75" t="s">
        <v>307</v>
      </c>
      <c r="M75" t="s">
        <v>308</v>
      </c>
      <c r="N75" t="s">
        <v>49</v>
      </c>
      <c r="O75" t="s">
        <v>48</v>
      </c>
      <c r="P75" t="s">
        <v>48</v>
      </c>
      <c r="Q75" t="s">
        <v>309</v>
      </c>
      <c r="R75" t="s">
        <v>38</v>
      </c>
      <c r="S75" t="s">
        <v>310</v>
      </c>
      <c r="T75">
        <v>773508</v>
      </c>
      <c r="U75">
        <v>0</v>
      </c>
      <c r="V75" t="s">
        <v>49</v>
      </c>
      <c r="W75" t="str">
        <f t="shared" si="20"/>
        <v xml:space="preserve">  </v>
      </c>
      <c r="Y75" t="str">
        <f>"EIA Electric Inc."</f>
        <v>EIA Electric Inc.</v>
      </c>
      <c r="Z75" t="str">
        <f>"1-6469633179"</f>
        <v>1-6469633179</v>
      </c>
      <c r="AA75" t="str">
        <f t="shared" si="21"/>
        <v xml:space="preserve">  </v>
      </c>
      <c r="AB75" t="str">
        <f t="shared" si="21"/>
        <v xml:space="preserve">  </v>
      </c>
      <c r="AC75" t="str">
        <f>"Long Island City"</f>
        <v>Long Island City</v>
      </c>
      <c r="AD75" t="str">
        <f>"NY"</f>
        <v>NY</v>
      </c>
      <c r="AE75" t="str">
        <f>"11101"</f>
        <v>11101</v>
      </c>
      <c r="AG75" t="str">
        <f>"DASNY Project # 1000509999 Region 1"</f>
        <v>DASNY Project # 1000509999 Region 1</v>
      </c>
      <c r="AH75" t="str">
        <f>""</f>
        <v/>
      </c>
      <c r="AI75" t="str">
        <f t="shared" si="22"/>
        <v>Is your firm a NYS-certified MBE?</v>
      </c>
      <c r="AJ75" t="str">
        <f>""</f>
        <v/>
      </c>
      <c r="AK75" t="str">
        <f>""</f>
        <v/>
      </c>
    </row>
    <row r="76" spans="1:37" x14ac:dyDescent="0.35">
      <c r="A76">
        <v>74</v>
      </c>
      <c r="B76" t="str">
        <f t="shared" si="19"/>
        <v>186505354601832687</v>
      </c>
      <c r="C76">
        <v>1603921565</v>
      </c>
      <c r="D76" t="s">
        <v>38</v>
      </c>
      <c r="E76" t="s">
        <v>39</v>
      </c>
      <c r="F76" t="s">
        <v>40</v>
      </c>
      <c r="G76" t="s">
        <v>41</v>
      </c>
      <c r="H76" t="s">
        <v>42</v>
      </c>
      <c r="I76" t="s">
        <v>43</v>
      </c>
      <c r="J76" t="s">
        <v>63</v>
      </c>
      <c r="K76" t="s">
        <v>311</v>
      </c>
      <c r="L76" t="s">
        <v>312</v>
      </c>
      <c r="M76" t="s">
        <v>313</v>
      </c>
      <c r="N76" t="s">
        <v>49</v>
      </c>
      <c r="O76" t="s">
        <v>48</v>
      </c>
      <c r="P76" t="s">
        <v>48</v>
      </c>
      <c r="Q76" t="s">
        <v>314</v>
      </c>
      <c r="R76" t="s">
        <v>38</v>
      </c>
      <c r="S76" t="s">
        <v>315</v>
      </c>
      <c r="T76">
        <v>529243</v>
      </c>
      <c r="U76">
        <v>0</v>
      </c>
      <c r="V76" t="s">
        <v>49</v>
      </c>
      <c r="W76" t="str">
        <f t="shared" si="20"/>
        <v xml:space="preserve">  </v>
      </c>
      <c r="Y76" t="str">
        <f>"New Safeway Contracting Corp."</f>
        <v>New Safeway Contracting Corp.</v>
      </c>
      <c r="Z76" t="str">
        <f>"1-6462696877"</f>
        <v>1-6462696877</v>
      </c>
      <c r="AA76" t="str">
        <f t="shared" si="21"/>
        <v xml:space="preserve">  </v>
      </c>
      <c r="AB76" t="str">
        <f t="shared" si="21"/>
        <v xml:space="preserve">  </v>
      </c>
      <c r="AC76" t="str">
        <f>"Jamaica"</f>
        <v>Jamaica</v>
      </c>
      <c r="AD76" t="str">
        <f>"New York"</f>
        <v>New York</v>
      </c>
      <c r="AE76" t="str">
        <f>"11432"</f>
        <v>11432</v>
      </c>
      <c r="AG76" t="str">
        <f>"GC"</f>
        <v>GC</v>
      </c>
      <c r="AH76" t="str">
        <f>"Is your firm a NYS-certified WBE?"</f>
        <v>Is your firm a NYS-certified WBE?</v>
      </c>
      <c r="AI76" t="str">
        <f t="shared" si="22"/>
        <v>Is your firm a NYS-certified MBE?</v>
      </c>
      <c r="AJ76" t="str">
        <f>""</f>
        <v/>
      </c>
      <c r="AK76" t="str">
        <f>""</f>
        <v/>
      </c>
    </row>
    <row r="77" spans="1:37" x14ac:dyDescent="0.35">
      <c r="A77">
        <v>75</v>
      </c>
      <c r="B77" t="str">
        <f t="shared" si="19"/>
        <v>186505354601832687</v>
      </c>
      <c r="C77">
        <v>1603921565</v>
      </c>
      <c r="D77" t="s">
        <v>38</v>
      </c>
      <c r="E77" t="s">
        <v>39</v>
      </c>
      <c r="F77" t="s">
        <v>40</v>
      </c>
      <c r="G77" t="s">
        <v>41</v>
      </c>
      <c r="H77" t="s">
        <v>42</v>
      </c>
      <c r="I77" t="s">
        <v>43</v>
      </c>
      <c r="J77" t="s">
        <v>63</v>
      </c>
      <c r="K77" t="s">
        <v>316</v>
      </c>
      <c r="L77" t="s">
        <v>317</v>
      </c>
      <c r="M77" t="s">
        <v>318</v>
      </c>
      <c r="N77" t="s">
        <v>49</v>
      </c>
      <c r="O77" t="s">
        <v>48</v>
      </c>
      <c r="P77" t="s">
        <v>48</v>
      </c>
      <c r="Q77" t="s">
        <v>319</v>
      </c>
      <c r="R77" t="s">
        <v>38</v>
      </c>
      <c r="S77" t="s">
        <v>320</v>
      </c>
      <c r="T77">
        <v>724201</v>
      </c>
      <c r="U77">
        <v>0</v>
      </c>
      <c r="V77" t="s">
        <v>49</v>
      </c>
      <c r="W77" t="str">
        <f t="shared" si="20"/>
        <v xml:space="preserve">  </v>
      </c>
      <c r="Y77" t="str">
        <f>"RAMS Mechanical"</f>
        <v>RAMS Mechanical</v>
      </c>
      <c r="Z77" t="str">
        <f>"1-718-888-7120"</f>
        <v>1-718-888-7120</v>
      </c>
      <c r="AA77" t="str">
        <f t="shared" si="21"/>
        <v xml:space="preserve">  </v>
      </c>
      <c r="AB77" t="str">
        <f t="shared" si="21"/>
        <v xml:space="preserve">  </v>
      </c>
      <c r="AC77" t="str">
        <f>"College Point"</f>
        <v>College Point</v>
      </c>
      <c r="AD77" t="str">
        <f>"NY"</f>
        <v>NY</v>
      </c>
      <c r="AE77" t="str">
        <f>"11356"</f>
        <v>11356</v>
      </c>
      <c r="AG77" t="str">
        <f>"HVAC"</f>
        <v>HVAC</v>
      </c>
      <c r="AH77" t="str">
        <f>""</f>
        <v/>
      </c>
      <c r="AI77" t="str">
        <f t="shared" si="22"/>
        <v>Is your firm a NYS-certified MBE?</v>
      </c>
      <c r="AJ77" t="str">
        <f>""</f>
        <v/>
      </c>
      <c r="AK77" t="str">
        <f>"Is your firm Currently a DASNY JOC Contractor?"</f>
        <v>Is your firm Currently a DASNY JOC Contractor?</v>
      </c>
    </row>
    <row r="78" spans="1:37" x14ac:dyDescent="0.35">
      <c r="A78">
        <v>76</v>
      </c>
      <c r="B78" t="str">
        <f t="shared" si="19"/>
        <v>186505354601832687</v>
      </c>
      <c r="C78">
        <v>1603921565</v>
      </c>
      <c r="D78" t="s">
        <v>38</v>
      </c>
      <c r="E78" t="s">
        <v>39</v>
      </c>
      <c r="F78" t="s">
        <v>40</v>
      </c>
      <c r="G78" t="s">
        <v>41</v>
      </c>
      <c r="H78" t="s">
        <v>42</v>
      </c>
      <c r="I78" t="s">
        <v>43</v>
      </c>
      <c r="J78" t="s">
        <v>63</v>
      </c>
      <c r="K78" t="s">
        <v>321</v>
      </c>
      <c r="L78" t="s">
        <v>322</v>
      </c>
      <c r="M78" t="s">
        <v>323</v>
      </c>
      <c r="N78" t="s">
        <v>49</v>
      </c>
      <c r="O78" t="s">
        <v>48</v>
      </c>
      <c r="P78" t="s">
        <v>48</v>
      </c>
      <c r="Q78" t="s">
        <v>96</v>
      </c>
      <c r="R78" t="s">
        <v>38</v>
      </c>
      <c r="S78" t="s">
        <v>324</v>
      </c>
      <c r="T78">
        <v>859682</v>
      </c>
      <c r="U78">
        <v>0</v>
      </c>
      <c r="V78" t="s">
        <v>49</v>
      </c>
      <c r="W78" t="str">
        <f t="shared" si="20"/>
        <v xml:space="preserve">  </v>
      </c>
      <c r="Y78" t="str">
        <f>"Geomatrix Services Inc"</f>
        <v>Geomatrix Services Inc</v>
      </c>
      <c r="Z78" t="str">
        <f>"1-7325689000"</f>
        <v>1-7325689000</v>
      </c>
      <c r="AA78" t="str">
        <f t="shared" si="21"/>
        <v xml:space="preserve">  </v>
      </c>
      <c r="AB78" t="str">
        <f t="shared" si="21"/>
        <v xml:space="preserve">  </v>
      </c>
      <c r="AC78" t="str">
        <f>"Bound Brook"</f>
        <v>Bound Brook</v>
      </c>
      <c r="AD78" t="str">
        <f>"New Jersey"</f>
        <v>New Jersey</v>
      </c>
      <c r="AE78" t="str">
        <f>"08805"</f>
        <v>08805</v>
      </c>
      <c r="AG78" t="str">
        <f>"GC, HVAC"</f>
        <v>GC, HVAC</v>
      </c>
      <c r="AH78" t="str">
        <f>""</f>
        <v/>
      </c>
      <c r="AI78" t="str">
        <f t="shared" si="22"/>
        <v>Is your firm a NYS-certified MBE?</v>
      </c>
      <c r="AJ78" t="str">
        <f>""</f>
        <v/>
      </c>
      <c r="AK78" t="str">
        <f>"Is your firm Currently a DASNY JOC Contractor?"</f>
        <v>Is your firm Currently a DASNY JOC Contractor?</v>
      </c>
    </row>
    <row r="79" spans="1:37" x14ac:dyDescent="0.35">
      <c r="A79">
        <v>77</v>
      </c>
      <c r="B79" t="str">
        <f t="shared" si="19"/>
        <v>186505354601832687</v>
      </c>
      <c r="C79">
        <v>1603921565</v>
      </c>
      <c r="D79" t="s">
        <v>38</v>
      </c>
      <c r="E79" t="s">
        <v>39</v>
      </c>
      <c r="F79" t="s">
        <v>40</v>
      </c>
      <c r="G79" t="s">
        <v>41</v>
      </c>
      <c r="H79" t="s">
        <v>42</v>
      </c>
      <c r="I79" t="s">
        <v>43</v>
      </c>
      <c r="J79" t="s">
        <v>63</v>
      </c>
      <c r="K79" t="s">
        <v>325</v>
      </c>
      <c r="L79" t="s">
        <v>326</v>
      </c>
      <c r="M79" t="s">
        <v>327</v>
      </c>
      <c r="N79" t="s">
        <v>49</v>
      </c>
      <c r="O79" t="s">
        <v>48</v>
      </c>
      <c r="P79" t="s">
        <v>48</v>
      </c>
      <c r="Q79" t="s">
        <v>178</v>
      </c>
      <c r="R79" t="s">
        <v>38</v>
      </c>
      <c r="S79" t="s">
        <v>328</v>
      </c>
      <c r="T79">
        <v>853101</v>
      </c>
      <c r="U79">
        <v>0</v>
      </c>
      <c r="V79" t="s">
        <v>49</v>
      </c>
      <c r="W79" t="str">
        <f t="shared" si="20"/>
        <v xml:space="preserve">  </v>
      </c>
      <c r="Y79" t="str">
        <f>"Legacy Developers LLC"</f>
        <v>Legacy Developers LLC</v>
      </c>
      <c r="Z79" t="str">
        <f>"1-516-441-0467"</f>
        <v>1-516-441-0467</v>
      </c>
      <c r="AA79" t="str">
        <f t="shared" si="21"/>
        <v xml:space="preserve">  </v>
      </c>
      <c r="AB79" t="str">
        <f t="shared" si="21"/>
        <v xml:space="preserve">  </v>
      </c>
      <c r="AC79" t="str">
        <f>"Manhasset"</f>
        <v>Manhasset</v>
      </c>
      <c r="AD79" t="str">
        <f>"New York"</f>
        <v>New York</v>
      </c>
      <c r="AE79" t="str">
        <f>"11030"</f>
        <v>11030</v>
      </c>
      <c r="AG79" t="str">
        <f>"Job Order Contracting Small Business Pilot Prog - Regions 1, 2 &amp; 3"</f>
        <v>Job Order Contracting Small Business Pilot Prog - Regions 1, 2 &amp; 3</v>
      </c>
      <c r="AH79" t="str">
        <f>""</f>
        <v/>
      </c>
      <c r="AI79" t="str">
        <f>""</f>
        <v/>
      </c>
      <c r="AJ79" t="str">
        <f>""</f>
        <v/>
      </c>
      <c r="AK79" t="str">
        <f>""</f>
        <v/>
      </c>
    </row>
    <row r="80" spans="1:37" x14ac:dyDescent="0.35">
      <c r="A80">
        <v>78</v>
      </c>
      <c r="B80" t="str">
        <f t="shared" si="19"/>
        <v>186505354601832687</v>
      </c>
      <c r="C80">
        <v>1603921565</v>
      </c>
      <c r="D80" t="s">
        <v>38</v>
      </c>
      <c r="E80" t="s">
        <v>39</v>
      </c>
      <c r="F80" t="s">
        <v>40</v>
      </c>
      <c r="G80" t="s">
        <v>41</v>
      </c>
      <c r="H80" t="s">
        <v>42</v>
      </c>
      <c r="I80" t="s">
        <v>43</v>
      </c>
      <c r="J80" t="s">
        <v>63</v>
      </c>
      <c r="K80" t="s">
        <v>329</v>
      </c>
      <c r="L80" t="s">
        <v>75</v>
      </c>
      <c r="M80" t="s">
        <v>330</v>
      </c>
      <c r="N80" t="s">
        <v>49</v>
      </c>
      <c r="O80" t="s">
        <v>48</v>
      </c>
      <c r="P80" t="s">
        <v>48</v>
      </c>
      <c r="Q80" t="s">
        <v>331</v>
      </c>
      <c r="R80" t="s">
        <v>38</v>
      </c>
      <c r="S80" t="s">
        <v>332</v>
      </c>
      <c r="T80">
        <v>799074</v>
      </c>
      <c r="U80">
        <v>0</v>
      </c>
      <c r="V80" t="s">
        <v>49</v>
      </c>
      <c r="W80" t="str">
        <f t="shared" si="20"/>
        <v xml:space="preserve">  </v>
      </c>
      <c r="Y80" t="str">
        <f>"SK Construction and Management"</f>
        <v>SK Construction and Management</v>
      </c>
      <c r="Z80" t="str">
        <f>"1-8458594200"</f>
        <v>1-8458594200</v>
      </c>
      <c r="AA80" t="str">
        <f t="shared" si="21"/>
        <v xml:space="preserve">  </v>
      </c>
      <c r="AB80" t="str">
        <f t="shared" si="21"/>
        <v xml:space="preserve">  </v>
      </c>
      <c r="AC80" t="str">
        <f>"Cortlandt Manor"</f>
        <v>Cortlandt Manor</v>
      </c>
      <c r="AD80" t="str">
        <f>"New York"</f>
        <v>New York</v>
      </c>
      <c r="AE80" t="str">
        <f>"10567"</f>
        <v>10567</v>
      </c>
      <c r="AG80" t="str">
        <f>"Region 3 HVAC"</f>
        <v>Region 3 HVAC</v>
      </c>
      <c r="AH80" t="str">
        <f>""</f>
        <v/>
      </c>
      <c r="AI80" t="str">
        <f>"Is your firm a NYS-certified MBE?"</f>
        <v>Is your firm a NYS-certified MBE?</v>
      </c>
      <c r="AJ80" t="str">
        <f>""</f>
        <v/>
      </c>
      <c r="AK80" t="str">
        <f>"Is your firm Currently a DASNY JOC Contractor?"</f>
        <v>Is your firm Currently a DASNY JOC Contractor?</v>
      </c>
    </row>
    <row r="81" spans="1:37" x14ac:dyDescent="0.35">
      <c r="A81">
        <v>79</v>
      </c>
      <c r="B81" t="str">
        <f t="shared" si="19"/>
        <v>186505354601832687</v>
      </c>
      <c r="C81">
        <v>1603921565</v>
      </c>
      <c r="D81" t="s">
        <v>38</v>
      </c>
      <c r="E81" t="s">
        <v>39</v>
      </c>
      <c r="F81" t="s">
        <v>40</v>
      </c>
      <c r="G81" t="s">
        <v>41</v>
      </c>
      <c r="H81" t="s">
        <v>42</v>
      </c>
      <c r="I81" t="s">
        <v>43</v>
      </c>
      <c r="J81" t="s">
        <v>63</v>
      </c>
      <c r="K81" t="s">
        <v>333</v>
      </c>
      <c r="L81" t="s">
        <v>334</v>
      </c>
      <c r="M81" t="s">
        <v>335</v>
      </c>
      <c r="N81" t="s">
        <v>49</v>
      </c>
      <c r="O81" t="s">
        <v>48</v>
      </c>
      <c r="P81" t="s">
        <v>48</v>
      </c>
      <c r="Q81" t="s">
        <v>336</v>
      </c>
      <c r="R81" t="s">
        <v>38</v>
      </c>
      <c r="S81" t="s">
        <v>337</v>
      </c>
      <c r="T81">
        <v>629933</v>
      </c>
      <c r="U81">
        <v>0</v>
      </c>
      <c r="V81" t="s">
        <v>49</v>
      </c>
      <c r="W81" t="str">
        <f t="shared" si="20"/>
        <v xml:space="preserve">  </v>
      </c>
      <c r="Y81" t="str">
        <f>"DASNY"</f>
        <v>DASNY</v>
      </c>
      <c r="Z81" t="str">
        <f>"1-6464832716"</f>
        <v>1-6464832716</v>
      </c>
      <c r="AA81" t="str">
        <f t="shared" si="21"/>
        <v xml:space="preserve">  </v>
      </c>
      <c r="AB81" t="str">
        <f t="shared" si="21"/>
        <v xml:space="preserve">  </v>
      </c>
      <c r="AC81" t="str">
        <f>"New York"</f>
        <v>New York</v>
      </c>
      <c r="AD81" t="str">
        <f>"NY"</f>
        <v>NY</v>
      </c>
      <c r="AE81" t="str">
        <f>"10119"</f>
        <v>10119</v>
      </c>
      <c r="AG81" t="str">
        <f>"gc"</f>
        <v>gc</v>
      </c>
      <c r="AH81" t="str">
        <f>""</f>
        <v/>
      </c>
      <c r="AI81" t="str">
        <f>""</f>
        <v/>
      </c>
      <c r="AJ81" t="str">
        <f>""</f>
        <v/>
      </c>
      <c r="AK81" t="str">
        <f>""</f>
        <v/>
      </c>
    </row>
    <row r="82" spans="1:37" x14ac:dyDescent="0.35">
      <c r="A82">
        <v>80</v>
      </c>
      <c r="B82" t="str">
        <f t="shared" si="19"/>
        <v>186505354601832687</v>
      </c>
      <c r="C82">
        <v>1603921565</v>
      </c>
      <c r="D82" t="s">
        <v>38</v>
      </c>
      <c r="E82" t="s">
        <v>39</v>
      </c>
      <c r="F82" t="s">
        <v>40</v>
      </c>
      <c r="G82" t="s">
        <v>41</v>
      </c>
      <c r="H82" t="s">
        <v>42</v>
      </c>
      <c r="I82" t="s">
        <v>43</v>
      </c>
      <c r="J82" t="s">
        <v>63</v>
      </c>
      <c r="K82" t="s">
        <v>338</v>
      </c>
      <c r="L82" t="s">
        <v>339</v>
      </c>
      <c r="M82" t="s">
        <v>340</v>
      </c>
      <c r="N82" t="s">
        <v>49</v>
      </c>
      <c r="O82" t="s">
        <v>48</v>
      </c>
      <c r="P82" t="s">
        <v>48</v>
      </c>
      <c r="Q82" t="s">
        <v>72</v>
      </c>
      <c r="R82" t="s">
        <v>38</v>
      </c>
      <c r="S82" t="s">
        <v>341</v>
      </c>
      <c r="T82">
        <v>537451</v>
      </c>
      <c r="U82">
        <v>0</v>
      </c>
      <c r="V82" t="s">
        <v>49</v>
      </c>
      <c r="W82" t="str">
        <f t="shared" si="20"/>
        <v xml:space="preserve">  </v>
      </c>
      <c r="Y82" t="str">
        <f>"HP Development I LLC, DBA Carthage Real Estate Advisors LLC"</f>
        <v>HP Development I LLC, DBA Carthage Real Estate Advisors LLC</v>
      </c>
      <c r="Z82" t="str">
        <f>"1-9174821162"</f>
        <v>1-9174821162</v>
      </c>
      <c r="AA82" t="str">
        <f t="shared" si="21"/>
        <v xml:space="preserve">  </v>
      </c>
      <c r="AB82" t="str">
        <f t="shared" si="21"/>
        <v xml:space="preserve">  </v>
      </c>
      <c r="AC82" t="str">
        <f>"New York"</f>
        <v>New York</v>
      </c>
      <c r="AD82" t="str">
        <f>"NY"</f>
        <v>NY</v>
      </c>
      <c r="AE82" t="str">
        <f>"10027"</f>
        <v>10027</v>
      </c>
      <c r="AG82" t="str">
        <f>"Environmental, Glazing, Demolition, Carpentry"</f>
        <v>Environmental, Glazing, Demolition, Carpentry</v>
      </c>
      <c r="AH82" t="str">
        <f>""</f>
        <v/>
      </c>
      <c r="AI82" t="str">
        <f>"Is your firm a NYS-certified MBE?"</f>
        <v>Is your firm a NYS-certified MBE?</v>
      </c>
      <c r="AJ82" t="str">
        <f>""</f>
        <v/>
      </c>
      <c r="AK82" t="str">
        <f>""</f>
        <v/>
      </c>
    </row>
    <row r="83" spans="1:37" x14ac:dyDescent="0.35">
      <c r="A83">
        <v>81</v>
      </c>
      <c r="B83" t="str">
        <f t="shared" si="19"/>
        <v>186505354601832687</v>
      </c>
      <c r="C83">
        <v>1603921565</v>
      </c>
      <c r="D83" t="s">
        <v>38</v>
      </c>
      <c r="E83" t="s">
        <v>39</v>
      </c>
      <c r="F83" t="s">
        <v>40</v>
      </c>
      <c r="G83" t="s">
        <v>41</v>
      </c>
      <c r="H83" t="s">
        <v>42</v>
      </c>
      <c r="I83" t="s">
        <v>43</v>
      </c>
      <c r="J83" t="s">
        <v>63</v>
      </c>
      <c r="K83" t="s">
        <v>342</v>
      </c>
      <c r="L83" t="s">
        <v>343</v>
      </c>
      <c r="M83" t="s">
        <v>344</v>
      </c>
      <c r="N83" t="s">
        <v>49</v>
      </c>
      <c r="O83" t="s">
        <v>48</v>
      </c>
      <c r="P83" t="s">
        <v>48</v>
      </c>
      <c r="Q83" t="s">
        <v>126</v>
      </c>
      <c r="R83" t="s">
        <v>38</v>
      </c>
      <c r="S83" t="s">
        <v>345</v>
      </c>
      <c r="T83">
        <v>179072</v>
      </c>
      <c r="U83">
        <v>0</v>
      </c>
      <c r="V83" t="s">
        <v>49</v>
      </c>
      <c r="W83" t="str">
        <f t="shared" si="20"/>
        <v xml:space="preserve">  </v>
      </c>
      <c r="Y83" t="str">
        <f>"Constructomics,LLC"</f>
        <v>Constructomics,LLC</v>
      </c>
      <c r="Z83" t="str">
        <f>"1-1-212-337-2300"</f>
        <v>1-1-212-337-2300</v>
      </c>
      <c r="AA83" t="str">
        <f t="shared" si="21"/>
        <v xml:space="preserve">  </v>
      </c>
      <c r="AB83" t="str">
        <f t="shared" si="21"/>
        <v xml:space="preserve">  </v>
      </c>
      <c r="AC83" t="str">
        <f>"New York"</f>
        <v>New York</v>
      </c>
      <c r="AD83" t="str">
        <f>"NY"</f>
        <v>NY</v>
      </c>
      <c r="AE83" t="str">
        <f>"10004"</f>
        <v>10004</v>
      </c>
      <c r="AG83" t="str">
        <f>"downstate"</f>
        <v>downstate</v>
      </c>
      <c r="AH83" t="str">
        <f>""</f>
        <v/>
      </c>
      <c r="AI83" t="str">
        <f>"Is your firm a NYS-certified MBE?"</f>
        <v>Is your firm a NYS-certified MBE?</v>
      </c>
      <c r="AJ83" t="str">
        <f>""</f>
        <v/>
      </c>
      <c r="AK83" t="str">
        <f>""</f>
        <v/>
      </c>
    </row>
    <row r="84" spans="1:37" x14ac:dyDescent="0.35">
      <c r="A84">
        <v>82</v>
      </c>
      <c r="B84" t="str">
        <f t="shared" si="19"/>
        <v>186505354601832687</v>
      </c>
      <c r="C84">
        <v>1603921565</v>
      </c>
      <c r="D84" t="s">
        <v>38</v>
      </c>
      <c r="E84" t="s">
        <v>39</v>
      </c>
      <c r="F84" t="s">
        <v>40</v>
      </c>
      <c r="G84" t="s">
        <v>41</v>
      </c>
      <c r="H84" t="s">
        <v>42</v>
      </c>
      <c r="I84" t="s">
        <v>43</v>
      </c>
      <c r="J84" t="s">
        <v>63</v>
      </c>
      <c r="K84" t="s">
        <v>342</v>
      </c>
      <c r="L84" t="s">
        <v>343</v>
      </c>
      <c r="M84" t="s">
        <v>344</v>
      </c>
      <c r="N84" t="s">
        <v>49</v>
      </c>
      <c r="O84" t="s">
        <v>48</v>
      </c>
      <c r="P84" t="s">
        <v>48</v>
      </c>
      <c r="Q84" t="s">
        <v>126</v>
      </c>
      <c r="R84" t="s">
        <v>38</v>
      </c>
      <c r="S84" t="s">
        <v>345</v>
      </c>
      <c r="T84">
        <v>179072</v>
      </c>
      <c r="U84">
        <v>0</v>
      </c>
      <c r="V84" t="s">
        <v>49</v>
      </c>
      <c r="W84" t="str">
        <f t="shared" si="20"/>
        <v xml:space="preserve">  </v>
      </c>
      <c r="Y84" t="str">
        <f>"Constructomics,LLC"</f>
        <v>Constructomics,LLC</v>
      </c>
      <c r="Z84" t="str">
        <f>"1-1-212-337-2300"</f>
        <v>1-1-212-337-2300</v>
      </c>
      <c r="AA84" t="str">
        <f t="shared" si="21"/>
        <v xml:space="preserve">  </v>
      </c>
      <c r="AB84" t="str">
        <f t="shared" si="21"/>
        <v xml:space="preserve">  </v>
      </c>
      <c r="AC84" t="str">
        <f>"New York"</f>
        <v>New York</v>
      </c>
      <c r="AD84" t="str">
        <f>"NY"</f>
        <v>NY</v>
      </c>
      <c r="AE84" t="str">
        <f>"10004"</f>
        <v>10004</v>
      </c>
      <c r="AG84" t="str">
        <f>"downstate"</f>
        <v>downstate</v>
      </c>
      <c r="AH84" t="str">
        <f>""</f>
        <v/>
      </c>
      <c r="AI84" t="str">
        <f>"Is your firm a NYS-certified MBE?"</f>
        <v>Is your firm a NYS-certified MBE?</v>
      </c>
      <c r="AJ84" t="str">
        <f>""</f>
        <v/>
      </c>
      <c r="AK84" t="str">
        <f>""</f>
        <v/>
      </c>
    </row>
    <row r="85" spans="1:37" x14ac:dyDescent="0.35">
      <c r="A85">
        <v>83</v>
      </c>
      <c r="B85" t="str">
        <f t="shared" si="19"/>
        <v>186505354601832687</v>
      </c>
      <c r="C85">
        <v>1603921565</v>
      </c>
      <c r="D85" t="s">
        <v>38</v>
      </c>
      <c r="E85" t="s">
        <v>39</v>
      </c>
      <c r="F85" t="s">
        <v>40</v>
      </c>
      <c r="G85" t="s">
        <v>41</v>
      </c>
      <c r="H85" t="s">
        <v>42</v>
      </c>
      <c r="I85" t="s">
        <v>43</v>
      </c>
      <c r="J85" t="s">
        <v>63</v>
      </c>
      <c r="K85" t="s">
        <v>346</v>
      </c>
      <c r="L85" t="s">
        <v>347</v>
      </c>
      <c r="M85" t="s">
        <v>348</v>
      </c>
      <c r="N85" t="s">
        <v>49</v>
      </c>
      <c r="O85" t="s">
        <v>48</v>
      </c>
      <c r="P85" t="s">
        <v>48</v>
      </c>
      <c r="Q85" t="s">
        <v>41</v>
      </c>
      <c r="R85" t="s">
        <v>38</v>
      </c>
      <c r="S85" t="s">
        <v>349</v>
      </c>
      <c r="T85">
        <v>689633</v>
      </c>
      <c r="U85">
        <v>0</v>
      </c>
      <c r="V85" t="s">
        <v>49</v>
      </c>
      <c r="W85" t="str">
        <f t="shared" si="20"/>
        <v xml:space="preserve">  </v>
      </c>
      <c r="Y85" t="str">
        <f>"D Handy Inc"</f>
        <v>D Handy Inc</v>
      </c>
      <c r="Z85" t="str">
        <f>"1-2674068063"</f>
        <v>1-2674068063</v>
      </c>
      <c r="AA85" t="str">
        <f t="shared" si="21"/>
        <v xml:space="preserve">  </v>
      </c>
      <c r="AB85" t="str">
        <f t="shared" si="21"/>
        <v xml:space="preserve">  </v>
      </c>
      <c r="AC85" t="str">
        <f>"Broad channel"</f>
        <v>Broad channel</v>
      </c>
      <c r="AD85" t="str">
        <f>"NY"</f>
        <v>NY</v>
      </c>
      <c r="AE85" t="str">
        <f>"11693"</f>
        <v>11693</v>
      </c>
      <c r="AG85" t="str">
        <f>"CR 514 General construction"</f>
        <v>CR 514 General construction</v>
      </c>
      <c r="AH85" t="str">
        <f>""</f>
        <v/>
      </c>
      <c r="AI85" t="str">
        <f>"Is your firm a NYS-certified MBE?"</f>
        <v>Is your firm a NYS-certified MBE?</v>
      </c>
      <c r="AJ85" t="str">
        <f>""</f>
        <v/>
      </c>
      <c r="AK85" t="str">
        <f>""</f>
        <v/>
      </c>
    </row>
    <row r="86" spans="1:37" x14ac:dyDescent="0.35">
      <c r="A86">
        <v>84</v>
      </c>
      <c r="B86" t="str">
        <f t="shared" si="19"/>
        <v>186505354601832687</v>
      </c>
      <c r="C86">
        <v>1603921565</v>
      </c>
      <c r="D86" t="s">
        <v>38</v>
      </c>
      <c r="E86" t="s">
        <v>39</v>
      </c>
      <c r="F86" t="s">
        <v>40</v>
      </c>
      <c r="G86" t="s">
        <v>41</v>
      </c>
      <c r="H86" t="s">
        <v>42</v>
      </c>
      <c r="I86" t="s">
        <v>43</v>
      </c>
      <c r="J86" t="s">
        <v>63</v>
      </c>
      <c r="K86" t="s">
        <v>350</v>
      </c>
      <c r="L86" t="s">
        <v>351</v>
      </c>
      <c r="M86" t="s">
        <v>352</v>
      </c>
      <c r="N86" t="s">
        <v>49</v>
      </c>
      <c r="O86" t="s">
        <v>48</v>
      </c>
      <c r="P86" t="s">
        <v>48</v>
      </c>
      <c r="Q86" t="s">
        <v>353</v>
      </c>
      <c r="R86" t="s">
        <v>38</v>
      </c>
      <c r="S86" t="s">
        <v>354</v>
      </c>
      <c r="T86">
        <v>182854</v>
      </c>
      <c r="U86">
        <v>0</v>
      </c>
      <c r="V86" t="s">
        <v>49</v>
      </c>
      <c r="W86" t="str">
        <f t="shared" si="20"/>
        <v xml:space="preserve">  </v>
      </c>
      <c r="Y86" t="str">
        <f>"Quality Control Laboratories, LLC."</f>
        <v>Quality Control Laboratories, LLC.</v>
      </c>
      <c r="Z86" t="str">
        <f>"1-7185456064"</f>
        <v>1-7185456064</v>
      </c>
      <c r="AA86" t="str">
        <f t="shared" si="21"/>
        <v xml:space="preserve">  </v>
      </c>
      <c r="AB86" t="str">
        <f t="shared" si="21"/>
        <v xml:space="preserve">  </v>
      </c>
      <c r="AC86" t="str">
        <f>"woodside"</f>
        <v>woodside</v>
      </c>
      <c r="AD86" t="str">
        <f>"New York"</f>
        <v>New York</v>
      </c>
      <c r="AE86" t="str">
        <f>"11377"</f>
        <v>11377</v>
      </c>
      <c r="AG86" t="str">
        <f>"Interested in Special Inspections and Materials Testing and Structural Monitoring."</f>
        <v>Interested in Special Inspections and Materials Testing and Structural Monitoring.</v>
      </c>
      <c r="AH86" t="str">
        <f>""</f>
        <v/>
      </c>
      <c r="AI86" t="str">
        <f>"Is your firm a NYS-certified MBE?"</f>
        <v>Is your firm a NYS-certified MBE?</v>
      </c>
      <c r="AJ86" t="str">
        <f>""</f>
        <v/>
      </c>
      <c r="AK86" t="str">
        <f>""</f>
        <v/>
      </c>
    </row>
    <row r="87" spans="1:37" x14ac:dyDescent="0.35">
      <c r="A87">
        <v>85</v>
      </c>
      <c r="B87" t="str">
        <f t="shared" si="19"/>
        <v>186505354601832687</v>
      </c>
      <c r="C87">
        <v>1603921565</v>
      </c>
      <c r="D87" t="s">
        <v>38</v>
      </c>
      <c r="E87" t="s">
        <v>39</v>
      </c>
      <c r="F87" t="s">
        <v>40</v>
      </c>
      <c r="G87" t="s">
        <v>41</v>
      </c>
      <c r="H87" t="s">
        <v>42</v>
      </c>
      <c r="I87" t="s">
        <v>43</v>
      </c>
      <c r="J87" t="s">
        <v>63</v>
      </c>
      <c r="K87" t="s">
        <v>355</v>
      </c>
      <c r="L87" t="s">
        <v>356</v>
      </c>
      <c r="M87" t="s">
        <v>357</v>
      </c>
      <c r="N87" t="s">
        <v>49</v>
      </c>
      <c r="O87" t="s">
        <v>48</v>
      </c>
      <c r="P87" t="s">
        <v>48</v>
      </c>
      <c r="Q87" t="s">
        <v>87</v>
      </c>
      <c r="R87" t="s">
        <v>38</v>
      </c>
      <c r="S87" t="s">
        <v>358</v>
      </c>
      <c r="T87">
        <v>237922</v>
      </c>
      <c r="U87">
        <v>0</v>
      </c>
      <c r="V87" t="s">
        <v>49</v>
      </c>
      <c r="W87" t="str">
        <f t="shared" si="20"/>
        <v xml:space="preserve">  </v>
      </c>
      <c r="Y87" t="str">
        <f>"D&amp;S Restoration, Inc."</f>
        <v>D&amp;S Restoration, Inc.</v>
      </c>
      <c r="Z87" t="str">
        <f>"1-9733458020"</f>
        <v>1-9733458020</v>
      </c>
      <c r="AA87" t="str">
        <f t="shared" si="21"/>
        <v xml:space="preserve">  </v>
      </c>
      <c r="AB87" t="str">
        <f t="shared" si="21"/>
        <v xml:space="preserve">  </v>
      </c>
      <c r="AC87" t="str">
        <f>"Paterson"</f>
        <v>Paterson</v>
      </c>
      <c r="AD87" t="str">
        <f>"New Jersey"</f>
        <v>New Jersey</v>
      </c>
      <c r="AE87" t="str">
        <f>"07503"</f>
        <v>07503</v>
      </c>
      <c r="AG87" t="str">
        <f>"General Contractor"</f>
        <v>General Contractor</v>
      </c>
      <c r="AH87" t="str">
        <f>""</f>
        <v/>
      </c>
      <c r="AI87" t="str">
        <f>""</f>
        <v/>
      </c>
      <c r="AJ87" t="str">
        <f>""</f>
        <v/>
      </c>
      <c r="AK87" t="str">
        <f>""</f>
        <v/>
      </c>
    </row>
    <row r="88" spans="1:37" x14ac:dyDescent="0.35">
      <c r="A88">
        <v>86</v>
      </c>
      <c r="B88" t="str">
        <f t="shared" si="19"/>
        <v>186505354601832687</v>
      </c>
      <c r="C88">
        <v>1603921565</v>
      </c>
      <c r="D88" t="s">
        <v>38</v>
      </c>
      <c r="E88" t="s">
        <v>39</v>
      </c>
      <c r="F88" t="s">
        <v>40</v>
      </c>
      <c r="G88" t="s">
        <v>41</v>
      </c>
      <c r="H88" t="s">
        <v>42</v>
      </c>
      <c r="I88" t="s">
        <v>43</v>
      </c>
      <c r="J88" t="s">
        <v>63</v>
      </c>
      <c r="K88" t="s">
        <v>359</v>
      </c>
      <c r="L88" t="s">
        <v>360</v>
      </c>
      <c r="M88" t="s">
        <v>361</v>
      </c>
      <c r="N88" t="s">
        <v>49</v>
      </c>
      <c r="O88" t="s">
        <v>48</v>
      </c>
      <c r="P88" t="s">
        <v>48</v>
      </c>
      <c r="Q88" t="s">
        <v>362</v>
      </c>
      <c r="R88" t="s">
        <v>38</v>
      </c>
      <c r="S88" t="s">
        <v>363</v>
      </c>
      <c r="T88">
        <v>187285</v>
      </c>
      <c r="U88">
        <v>0</v>
      </c>
      <c r="V88" t="s">
        <v>49</v>
      </c>
      <c r="W88" t="str">
        <f t="shared" si="20"/>
        <v xml:space="preserve">  </v>
      </c>
      <c r="Y88" t="str">
        <f>"RNW Electric Corp"</f>
        <v>RNW Electric Corp</v>
      </c>
      <c r="Z88" t="str">
        <f>"1-7183232622"</f>
        <v>1-7183232622</v>
      </c>
      <c r="AA88" t="str">
        <f t="shared" si="21"/>
        <v xml:space="preserve">  </v>
      </c>
      <c r="AB88" t="str">
        <f t="shared" si="21"/>
        <v xml:space="preserve">  </v>
      </c>
      <c r="AC88" t="str">
        <f>"Bronx"</f>
        <v>Bronx</v>
      </c>
      <c r="AD88" t="str">
        <f>"New York"</f>
        <v>New York</v>
      </c>
      <c r="AE88" t="str">
        <f>"10454"</f>
        <v>10454</v>
      </c>
      <c r="AG88" t="str">
        <f>"REGION 1."</f>
        <v>REGION 1.</v>
      </c>
      <c r="AH88" t="str">
        <f>""</f>
        <v/>
      </c>
      <c r="AI88" t="str">
        <f t="shared" ref="AI88:AI93" si="23">"Is your firm a NYS-certified MBE?"</f>
        <v>Is your firm a NYS-certified MBE?</v>
      </c>
      <c r="AJ88" t="str">
        <f>""</f>
        <v/>
      </c>
      <c r="AK88" t="str">
        <f>""</f>
        <v/>
      </c>
    </row>
    <row r="89" spans="1:37" x14ac:dyDescent="0.35">
      <c r="A89">
        <v>87</v>
      </c>
      <c r="B89" t="str">
        <f t="shared" si="19"/>
        <v>186505354601832687</v>
      </c>
      <c r="C89">
        <v>1603921565</v>
      </c>
      <c r="D89" t="s">
        <v>38</v>
      </c>
      <c r="E89" t="s">
        <v>39</v>
      </c>
      <c r="F89" t="s">
        <v>40</v>
      </c>
      <c r="G89" t="s">
        <v>41</v>
      </c>
      <c r="H89" t="s">
        <v>42</v>
      </c>
      <c r="I89" t="s">
        <v>43</v>
      </c>
      <c r="J89" t="s">
        <v>63</v>
      </c>
      <c r="K89" t="s">
        <v>364</v>
      </c>
      <c r="L89" t="s">
        <v>365</v>
      </c>
      <c r="M89" t="s">
        <v>366</v>
      </c>
      <c r="N89" t="s">
        <v>49</v>
      </c>
      <c r="O89" t="s">
        <v>48</v>
      </c>
      <c r="P89" t="s">
        <v>48</v>
      </c>
      <c r="Q89" t="s">
        <v>367</v>
      </c>
      <c r="R89" t="s">
        <v>38</v>
      </c>
      <c r="S89" t="s">
        <v>368</v>
      </c>
      <c r="T89">
        <v>399761</v>
      </c>
      <c r="U89">
        <v>0</v>
      </c>
      <c r="V89" t="s">
        <v>49</v>
      </c>
      <c r="W89" t="str">
        <f t="shared" si="20"/>
        <v xml:space="preserve">  </v>
      </c>
      <c r="Y89" t="str">
        <f>"Mach Group Inc"</f>
        <v>Mach Group Inc</v>
      </c>
      <c r="Z89" t="str">
        <f>"1-5162161952"</f>
        <v>1-5162161952</v>
      </c>
      <c r="AA89" t="str">
        <f t="shared" ref="AA89:AB98" si="24">"  "</f>
        <v xml:space="preserve">  </v>
      </c>
      <c r="AB89" t="str">
        <f t="shared" si="24"/>
        <v xml:space="preserve">  </v>
      </c>
      <c r="AC89" t="str">
        <f>"Floral Park"</f>
        <v>Floral Park</v>
      </c>
      <c r="AD89" t="str">
        <f>"NY"</f>
        <v>NY</v>
      </c>
      <c r="AE89" t="str">
        <f>"11001"</f>
        <v>11001</v>
      </c>
      <c r="AG89" t="str">
        <f>"Exterior Renovation"</f>
        <v>Exterior Renovation</v>
      </c>
      <c r="AH89" t="str">
        <f>""</f>
        <v/>
      </c>
      <c r="AI89" t="str">
        <f t="shared" si="23"/>
        <v>Is your firm a NYS-certified MBE?</v>
      </c>
      <c r="AJ89" t="str">
        <f>""</f>
        <v/>
      </c>
      <c r="AK89" t="str">
        <f>""</f>
        <v/>
      </c>
    </row>
    <row r="90" spans="1:37" x14ac:dyDescent="0.35">
      <c r="A90">
        <v>88</v>
      </c>
      <c r="B90" t="str">
        <f t="shared" si="19"/>
        <v>186505354601832687</v>
      </c>
      <c r="C90">
        <v>1603921565</v>
      </c>
      <c r="D90" t="s">
        <v>38</v>
      </c>
      <c r="E90" t="s">
        <v>39</v>
      </c>
      <c r="F90" t="s">
        <v>40</v>
      </c>
      <c r="G90" t="s">
        <v>41</v>
      </c>
      <c r="H90" t="s">
        <v>42</v>
      </c>
      <c r="I90" t="s">
        <v>43</v>
      </c>
      <c r="J90" t="s">
        <v>63</v>
      </c>
      <c r="K90" t="s">
        <v>369</v>
      </c>
      <c r="L90" t="s">
        <v>370</v>
      </c>
      <c r="M90" t="s">
        <v>371</v>
      </c>
      <c r="N90" t="s">
        <v>49</v>
      </c>
      <c r="O90" t="s">
        <v>48</v>
      </c>
      <c r="P90" t="s">
        <v>48</v>
      </c>
      <c r="Q90" t="s">
        <v>72</v>
      </c>
      <c r="R90" t="s">
        <v>38</v>
      </c>
      <c r="S90" t="s">
        <v>372</v>
      </c>
      <c r="T90">
        <v>673177</v>
      </c>
      <c r="U90">
        <v>0</v>
      </c>
      <c r="V90" t="s">
        <v>49</v>
      </c>
      <c r="W90" t="str">
        <f t="shared" si="20"/>
        <v xml:space="preserve">  </v>
      </c>
      <c r="Y90" t="str">
        <f>"Cube Construction Services, LLC"</f>
        <v>Cube Construction Services, LLC</v>
      </c>
      <c r="Z90" t="str">
        <f>"1-732-529-4404"</f>
        <v>1-732-529-4404</v>
      </c>
      <c r="AA90" t="str">
        <f t="shared" si="24"/>
        <v xml:space="preserve">  </v>
      </c>
      <c r="AB90" t="str">
        <f t="shared" si="24"/>
        <v xml:space="preserve">  </v>
      </c>
      <c r="AC90" t="str">
        <f>"North Brunswick"</f>
        <v>North Brunswick</v>
      </c>
      <c r="AD90" t="str">
        <f>"NJ"</f>
        <v>NJ</v>
      </c>
      <c r="AE90" t="str">
        <f>"08902"</f>
        <v>08902</v>
      </c>
      <c r="AG90" t="str">
        <f>"Job Order Contracting Small Business Pilot Program Regions 1, 2 and 3; Job Order Contracting Regions 1, 3, 4, 5, 6, 8, 9 and 10"</f>
        <v>Job Order Contracting Small Business Pilot Program Regions 1, 2 and 3; Job Order Contracting Regions 1, 3, 4, 5, 6, 8, 9 and 10</v>
      </c>
      <c r="AH90" t="str">
        <f>""</f>
        <v/>
      </c>
      <c r="AI90" t="str">
        <f t="shared" si="23"/>
        <v>Is your firm a NYS-certified MBE?</v>
      </c>
      <c r="AJ90" t="str">
        <f>""</f>
        <v/>
      </c>
      <c r="AK90" t="str">
        <f>"Is your firm Currently a DASNY JOC Contractor?"</f>
        <v>Is your firm Currently a DASNY JOC Contractor?</v>
      </c>
    </row>
    <row r="91" spans="1:37" x14ac:dyDescent="0.35">
      <c r="A91">
        <v>89</v>
      </c>
      <c r="B91" t="str">
        <f t="shared" si="19"/>
        <v>186505354601832687</v>
      </c>
      <c r="C91">
        <v>1603921565</v>
      </c>
      <c r="D91" t="s">
        <v>38</v>
      </c>
      <c r="E91" t="s">
        <v>39</v>
      </c>
      <c r="F91" t="s">
        <v>40</v>
      </c>
      <c r="G91" t="s">
        <v>41</v>
      </c>
      <c r="H91" t="s">
        <v>42</v>
      </c>
      <c r="I91" t="s">
        <v>43</v>
      </c>
      <c r="J91" t="s">
        <v>63</v>
      </c>
      <c r="K91" t="s">
        <v>373</v>
      </c>
      <c r="L91" t="s">
        <v>374</v>
      </c>
      <c r="M91" t="s">
        <v>375</v>
      </c>
      <c r="N91" t="s">
        <v>49</v>
      </c>
      <c r="O91" t="s">
        <v>48</v>
      </c>
      <c r="P91" t="s">
        <v>48</v>
      </c>
      <c r="Q91" t="s">
        <v>376</v>
      </c>
      <c r="R91" t="s">
        <v>38</v>
      </c>
      <c r="S91" t="s">
        <v>377</v>
      </c>
      <c r="T91">
        <v>649709</v>
      </c>
      <c r="U91">
        <v>0</v>
      </c>
      <c r="V91" t="s">
        <v>49</v>
      </c>
      <c r="W91" t="str">
        <f t="shared" si="20"/>
        <v xml:space="preserve">  </v>
      </c>
      <c r="Y91" t="str">
        <f>"Avenue Contracting Inc."</f>
        <v>Avenue Contracting Inc.</v>
      </c>
      <c r="Z91" t="str">
        <f>"1-7162172243"</f>
        <v>1-7162172243</v>
      </c>
      <c r="AA91" t="str">
        <f t="shared" si="24"/>
        <v xml:space="preserve">  </v>
      </c>
      <c r="AB91" t="str">
        <f t="shared" si="24"/>
        <v xml:space="preserve">  </v>
      </c>
      <c r="AC91" t="str">
        <f>"fresh meadows"</f>
        <v>fresh meadows</v>
      </c>
      <c r="AD91" t="str">
        <f>"NY"</f>
        <v>NY</v>
      </c>
      <c r="AE91" t="str">
        <f>"11365"</f>
        <v>11365</v>
      </c>
      <c r="AG91" t="str">
        <f>"General Construction"</f>
        <v>General Construction</v>
      </c>
      <c r="AH91" t="str">
        <f>""</f>
        <v/>
      </c>
      <c r="AI91" t="str">
        <f t="shared" si="23"/>
        <v>Is your firm a NYS-certified MBE?</v>
      </c>
      <c r="AJ91" t="str">
        <f>""</f>
        <v/>
      </c>
      <c r="AK91" t="str">
        <f>"Is your firm Currently a DASNY JOC Contractor?"</f>
        <v>Is your firm Currently a DASNY JOC Contractor?</v>
      </c>
    </row>
    <row r="92" spans="1:37" x14ac:dyDescent="0.35">
      <c r="A92">
        <v>90</v>
      </c>
      <c r="B92" t="str">
        <f t="shared" si="19"/>
        <v>186505354601832687</v>
      </c>
      <c r="C92">
        <v>1603921565</v>
      </c>
      <c r="D92" t="s">
        <v>38</v>
      </c>
      <c r="E92" t="s">
        <v>39</v>
      </c>
      <c r="F92" t="s">
        <v>40</v>
      </c>
      <c r="G92" t="s">
        <v>41</v>
      </c>
      <c r="H92" t="s">
        <v>42</v>
      </c>
      <c r="I92" t="s">
        <v>43</v>
      </c>
      <c r="J92" t="s">
        <v>63</v>
      </c>
      <c r="K92" t="s">
        <v>373</v>
      </c>
      <c r="L92" t="s">
        <v>374</v>
      </c>
      <c r="M92" t="s">
        <v>375</v>
      </c>
      <c r="N92" t="s">
        <v>49</v>
      </c>
      <c r="O92" t="s">
        <v>48</v>
      </c>
      <c r="P92" t="s">
        <v>48</v>
      </c>
      <c r="Q92" t="s">
        <v>378</v>
      </c>
      <c r="R92" t="s">
        <v>38</v>
      </c>
      <c r="S92" t="s">
        <v>377</v>
      </c>
      <c r="T92">
        <v>649709</v>
      </c>
      <c r="U92">
        <v>0</v>
      </c>
      <c r="V92" t="s">
        <v>49</v>
      </c>
      <c r="W92" t="str">
        <f t="shared" si="20"/>
        <v xml:space="preserve">  </v>
      </c>
      <c r="Y92" t="str">
        <f>"Avenue Contracting Inc."</f>
        <v>Avenue Contracting Inc.</v>
      </c>
      <c r="Z92" t="str">
        <f>"1-7162172243"</f>
        <v>1-7162172243</v>
      </c>
      <c r="AA92" t="str">
        <f t="shared" si="24"/>
        <v xml:space="preserve">  </v>
      </c>
      <c r="AB92" t="str">
        <f t="shared" si="24"/>
        <v xml:space="preserve">  </v>
      </c>
      <c r="AC92" t="str">
        <f>"fresh meadows"</f>
        <v>fresh meadows</v>
      </c>
      <c r="AD92" t="str">
        <f>"NY"</f>
        <v>NY</v>
      </c>
      <c r="AE92" t="str">
        <f>"11365"</f>
        <v>11365</v>
      </c>
      <c r="AG92" t="str">
        <f>"General Construction"</f>
        <v>General Construction</v>
      </c>
      <c r="AH92" t="str">
        <f>""</f>
        <v/>
      </c>
      <c r="AI92" t="str">
        <f t="shared" si="23"/>
        <v>Is your firm a NYS-certified MBE?</v>
      </c>
      <c r="AJ92" t="str">
        <f>""</f>
        <v/>
      </c>
      <c r="AK92" t="str">
        <f>"Is your firm Currently a DASNY JOC Contractor?"</f>
        <v>Is your firm Currently a DASNY JOC Contractor?</v>
      </c>
    </row>
    <row r="93" spans="1:37" x14ac:dyDescent="0.35">
      <c r="A93">
        <v>91</v>
      </c>
      <c r="B93" t="str">
        <f t="shared" si="19"/>
        <v>186505354601832687</v>
      </c>
      <c r="C93">
        <v>1603921565</v>
      </c>
      <c r="D93" t="s">
        <v>38</v>
      </c>
      <c r="E93" t="s">
        <v>39</v>
      </c>
      <c r="F93" t="s">
        <v>40</v>
      </c>
      <c r="G93" t="s">
        <v>41</v>
      </c>
      <c r="H93" t="s">
        <v>42</v>
      </c>
      <c r="I93" t="s">
        <v>43</v>
      </c>
      <c r="J93" t="s">
        <v>63</v>
      </c>
      <c r="K93" t="s">
        <v>379</v>
      </c>
      <c r="L93" t="s">
        <v>380</v>
      </c>
      <c r="M93" t="s">
        <v>381</v>
      </c>
      <c r="N93" t="s">
        <v>49</v>
      </c>
      <c r="O93" t="s">
        <v>48</v>
      </c>
      <c r="P93" t="s">
        <v>48</v>
      </c>
      <c r="Q93" t="s">
        <v>186</v>
      </c>
      <c r="R93" t="s">
        <v>38</v>
      </c>
      <c r="S93" t="s">
        <v>382</v>
      </c>
      <c r="T93">
        <v>451348</v>
      </c>
      <c r="U93">
        <v>0</v>
      </c>
      <c r="V93" t="s">
        <v>49</v>
      </c>
      <c r="W93" t="str">
        <f t="shared" si="20"/>
        <v xml:space="preserve">  </v>
      </c>
      <c r="Y93" t="str">
        <f>"BARROS CONSTRUCTION CORP"</f>
        <v>BARROS CONSTRUCTION CORP</v>
      </c>
      <c r="Z93" t="str">
        <f>"1-6469967282"</f>
        <v>1-6469967282</v>
      </c>
      <c r="AA93" t="str">
        <f t="shared" si="24"/>
        <v xml:space="preserve">  </v>
      </c>
      <c r="AB93" t="str">
        <f t="shared" si="24"/>
        <v xml:space="preserve">  </v>
      </c>
      <c r="AC93" t="str">
        <f>"Richmond Hill"</f>
        <v>Richmond Hill</v>
      </c>
      <c r="AD93" t="str">
        <f>"NY"</f>
        <v>NY</v>
      </c>
      <c r="AE93" t="str">
        <f>"11419"</f>
        <v>11419</v>
      </c>
      <c r="AG93" t="str">
        <f>"Solicitation #:1000509999/CR514, 516, 518, 518 and 519"</f>
        <v>Solicitation #:1000509999/CR514, 516, 518, 518 and 519</v>
      </c>
      <c r="AH93" t="str">
        <f>""</f>
        <v/>
      </c>
      <c r="AI93" t="str">
        <f t="shared" si="23"/>
        <v>Is your firm a NYS-certified MBE?</v>
      </c>
      <c r="AJ93" t="str">
        <f>""</f>
        <v/>
      </c>
      <c r="AK93" t="str">
        <f>""</f>
        <v/>
      </c>
    </row>
    <row r="94" spans="1:37" x14ac:dyDescent="0.35">
      <c r="A94">
        <v>92</v>
      </c>
      <c r="B94" t="str">
        <f t="shared" si="19"/>
        <v>186505354601832687</v>
      </c>
      <c r="C94">
        <v>1603921565</v>
      </c>
      <c r="D94" t="s">
        <v>38</v>
      </c>
      <c r="E94" t="s">
        <v>39</v>
      </c>
      <c r="F94" t="s">
        <v>40</v>
      </c>
      <c r="G94" t="s">
        <v>41</v>
      </c>
      <c r="H94" t="s">
        <v>42</v>
      </c>
      <c r="I94" t="s">
        <v>43</v>
      </c>
      <c r="J94" t="s">
        <v>63</v>
      </c>
      <c r="K94" t="s">
        <v>383</v>
      </c>
      <c r="L94" t="s">
        <v>384</v>
      </c>
      <c r="M94" t="s">
        <v>385</v>
      </c>
      <c r="N94" t="s">
        <v>49</v>
      </c>
      <c r="O94" t="s">
        <v>48</v>
      </c>
      <c r="P94" t="s">
        <v>48</v>
      </c>
      <c r="Q94" t="s">
        <v>386</v>
      </c>
      <c r="R94" t="s">
        <v>38</v>
      </c>
      <c r="S94" t="s">
        <v>387</v>
      </c>
      <c r="T94">
        <v>287178</v>
      </c>
      <c r="U94">
        <v>0</v>
      </c>
      <c r="V94" t="s">
        <v>49</v>
      </c>
      <c r="W94" t="str">
        <f t="shared" si="20"/>
        <v xml:space="preserve">  </v>
      </c>
      <c r="Y94" t="str">
        <f>"Aps"</f>
        <v>Aps</v>
      </c>
      <c r="Z94" t="str">
        <f>"1-7189969187"</f>
        <v>1-7189969187</v>
      </c>
      <c r="AA94" t="str">
        <f t="shared" si="24"/>
        <v xml:space="preserve">  </v>
      </c>
      <c r="AB94" t="str">
        <f t="shared" si="24"/>
        <v xml:space="preserve">  </v>
      </c>
      <c r="AC94" t="str">
        <f>"Long Island city"</f>
        <v>Long Island city</v>
      </c>
      <c r="AD94" t="str">
        <f>"Ny"</f>
        <v>Ny</v>
      </c>
      <c r="AE94" t="str">
        <f>"11106"</f>
        <v>11106</v>
      </c>
      <c r="AG94" t="str">
        <f>"Electrical"</f>
        <v>Electrical</v>
      </c>
      <c r="AH94" t="str">
        <f>""</f>
        <v/>
      </c>
      <c r="AI94" t="str">
        <f>""</f>
        <v/>
      </c>
      <c r="AJ94" t="str">
        <f>""</f>
        <v/>
      </c>
      <c r="AK94" t="str">
        <f>""</f>
        <v/>
      </c>
    </row>
    <row r="95" spans="1:37" x14ac:dyDescent="0.35">
      <c r="A95">
        <v>93</v>
      </c>
      <c r="B95" t="str">
        <f t="shared" si="19"/>
        <v>186505354601832687</v>
      </c>
      <c r="C95">
        <v>1603921565</v>
      </c>
      <c r="D95" t="s">
        <v>38</v>
      </c>
      <c r="E95" t="s">
        <v>39</v>
      </c>
      <c r="F95" t="s">
        <v>40</v>
      </c>
      <c r="G95" t="s">
        <v>41</v>
      </c>
      <c r="H95" t="s">
        <v>42</v>
      </c>
      <c r="I95" t="s">
        <v>43</v>
      </c>
      <c r="J95" t="s">
        <v>63</v>
      </c>
      <c r="K95" t="s">
        <v>388</v>
      </c>
      <c r="L95" t="s">
        <v>389</v>
      </c>
      <c r="M95" t="s">
        <v>390</v>
      </c>
      <c r="N95" t="s">
        <v>49</v>
      </c>
      <c r="O95" t="s">
        <v>48</v>
      </c>
      <c r="P95" t="s">
        <v>48</v>
      </c>
      <c r="Q95" t="s">
        <v>391</v>
      </c>
      <c r="R95" t="s">
        <v>38</v>
      </c>
      <c r="S95" t="s">
        <v>392</v>
      </c>
      <c r="T95">
        <v>588348</v>
      </c>
      <c r="U95">
        <v>0</v>
      </c>
      <c r="V95" t="s">
        <v>49</v>
      </c>
      <c r="W95" t="str">
        <f t="shared" si="20"/>
        <v xml:space="preserve">  </v>
      </c>
      <c r="Y95" t="str">
        <f>"Workspace"</f>
        <v>Workspace</v>
      </c>
      <c r="Z95" t="str">
        <f>"1-203-918-5111"</f>
        <v>1-203-918-5111</v>
      </c>
      <c r="AA95" t="str">
        <f t="shared" si="24"/>
        <v xml:space="preserve">  </v>
      </c>
      <c r="AB95" t="str">
        <f t="shared" si="24"/>
        <v xml:space="preserve">  </v>
      </c>
      <c r="AC95" t="str">
        <f>"Stamford"</f>
        <v>Stamford</v>
      </c>
      <c r="AD95" t="str">
        <f>"Connecticut"</f>
        <v>Connecticut</v>
      </c>
      <c r="AE95" t="str">
        <f>"06901"</f>
        <v>06901</v>
      </c>
      <c r="AG95" t="str">
        <f>"Furniture"</f>
        <v>Furniture</v>
      </c>
      <c r="AH95" t="str">
        <f>"Is your firm a NYS-certified WBE?"</f>
        <v>Is your firm a NYS-certified WBE?</v>
      </c>
      <c r="AI95" t="str">
        <f>"Is your firm a NYS-certified MBE?"</f>
        <v>Is your firm a NYS-certified MBE?</v>
      </c>
      <c r="AJ95" t="str">
        <f>""</f>
        <v/>
      </c>
      <c r="AK95" t="str">
        <f>""</f>
        <v/>
      </c>
    </row>
    <row r="96" spans="1:37" x14ac:dyDescent="0.35">
      <c r="A96">
        <v>94</v>
      </c>
      <c r="B96" t="str">
        <f t="shared" si="19"/>
        <v>186505354601832687</v>
      </c>
      <c r="C96">
        <v>1603921565</v>
      </c>
      <c r="D96" t="s">
        <v>38</v>
      </c>
      <c r="E96" t="s">
        <v>39</v>
      </c>
      <c r="F96" t="s">
        <v>40</v>
      </c>
      <c r="G96" t="s">
        <v>41</v>
      </c>
      <c r="H96" t="s">
        <v>42</v>
      </c>
      <c r="I96" t="s">
        <v>43</v>
      </c>
      <c r="J96" t="s">
        <v>63</v>
      </c>
      <c r="K96" t="s">
        <v>393</v>
      </c>
      <c r="L96" t="s">
        <v>394</v>
      </c>
      <c r="M96" t="s">
        <v>395</v>
      </c>
      <c r="N96" t="s">
        <v>49</v>
      </c>
      <c r="O96" t="s">
        <v>48</v>
      </c>
      <c r="P96" t="s">
        <v>48</v>
      </c>
      <c r="Q96" t="s">
        <v>396</v>
      </c>
      <c r="R96" t="s">
        <v>38</v>
      </c>
      <c r="S96" t="s">
        <v>397</v>
      </c>
      <c r="T96">
        <v>770169</v>
      </c>
      <c r="U96">
        <v>0</v>
      </c>
      <c r="V96" t="s">
        <v>49</v>
      </c>
      <c r="W96" t="str">
        <f t="shared" si="20"/>
        <v xml:space="preserve">  </v>
      </c>
      <c r="Y96" t="str">
        <f>"Saad Construction Corp."</f>
        <v>Saad Construction Corp.</v>
      </c>
      <c r="Z96" t="str">
        <f>"1-19176287558"</f>
        <v>1-19176287558</v>
      </c>
      <c r="AA96" t="str">
        <f t="shared" si="24"/>
        <v xml:space="preserve">  </v>
      </c>
      <c r="AB96" t="str">
        <f t="shared" si="24"/>
        <v xml:space="preserve">  </v>
      </c>
      <c r="AC96" t="str">
        <f>"Dix Hills"</f>
        <v>Dix Hills</v>
      </c>
      <c r="AD96" t="str">
        <f>"NY"</f>
        <v>NY</v>
      </c>
      <c r="AE96" t="str">
        <f>"11746"</f>
        <v>11746</v>
      </c>
      <c r="AG96" t="str">
        <f>"General Construction JOC"</f>
        <v>General Construction JOC</v>
      </c>
      <c r="AH96" t="str">
        <f>""</f>
        <v/>
      </c>
      <c r="AI96" t="str">
        <f>"Is your firm a NYS-certified MBE?"</f>
        <v>Is your firm a NYS-certified MBE?</v>
      </c>
      <c r="AJ96" t="str">
        <f>""</f>
        <v/>
      </c>
      <c r="AK96" t="str">
        <f>""</f>
        <v/>
      </c>
    </row>
    <row r="97" spans="1:37" x14ac:dyDescent="0.35">
      <c r="A97">
        <v>95</v>
      </c>
      <c r="B97" t="str">
        <f t="shared" si="19"/>
        <v>186505354601832687</v>
      </c>
      <c r="C97">
        <v>1603921565</v>
      </c>
      <c r="D97" t="s">
        <v>38</v>
      </c>
      <c r="E97" t="s">
        <v>39</v>
      </c>
      <c r="F97" t="s">
        <v>40</v>
      </c>
      <c r="G97" t="s">
        <v>41</v>
      </c>
      <c r="H97" t="s">
        <v>42</v>
      </c>
      <c r="I97" t="s">
        <v>43</v>
      </c>
      <c r="J97" t="s">
        <v>63</v>
      </c>
      <c r="K97" t="s">
        <v>398</v>
      </c>
      <c r="L97" t="s">
        <v>399</v>
      </c>
      <c r="M97" t="s">
        <v>400</v>
      </c>
      <c r="N97" t="s">
        <v>49</v>
      </c>
      <c r="O97" t="s">
        <v>48</v>
      </c>
      <c r="P97" t="s">
        <v>48</v>
      </c>
      <c r="Q97" t="s">
        <v>114</v>
      </c>
      <c r="R97" t="s">
        <v>38</v>
      </c>
      <c r="S97" t="s">
        <v>401</v>
      </c>
      <c r="T97">
        <v>736796</v>
      </c>
      <c r="U97">
        <v>0</v>
      </c>
      <c r="V97" t="s">
        <v>49</v>
      </c>
      <c r="W97" t="str">
        <f t="shared" si="20"/>
        <v xml:space="preserve">  </v>
      </c>
      <c r="Y97" t="str">
        <f>"AWL Industries, Inc."</f>
        <v>AWL Industries, Inc.</v>
      </c>
      <c r="Z97" t="str">
        <f>"1-17183885500"</f>
        <v>1-17183885500</v>
      </c>
      <c r="AA97" t="str">
        <f t="shared" si="24"/>
        <v xml:space="preserve">  </v>
      </c>
      <c r="AB97" t="str">
        <f t="shared" si="24"/>
        <v xml:space="preserve">  </v>
      </c>
      <c r="AC97" t="str">
        <f>"Brooklyn"</f>
        <v>Brooklyn</v>
      </c>
      <c r="AD97" t="str">
        <f>"NY"</f>
        <v>NY</v>
      </c>
      <c r="AE97" t="str">
        <f>"11222"</f>
        <v>11222</v>
      </c>
      <c r="AG97" t="str">
        <f>"Regions 1, 2, 3"</f>
        <v>Regions 1, 2, 3</v>
      </c>
      <c r="AH97" t="str">
        <f>""</f>
        <v/>
      </c>
      <c r="AI97" t="str">
        <f>""</f>
        <v/>
      </c>
      <c r="AJ97" t="str">
        <f>""</f>
        <v/>
      </c>
      <c r="AK97" t="str">
        <f>""</f>
        <v/>
      </c>
    </row>
    <row r="98" spans="1:37" x14ac:dyDescent="0.35">
      <c r="A98">
        <v>96</v>
      </c>
      <c r="B98" t="str">
        <f t="shared" si="19"/>
        <v>186505354601832687</v>
      </c>
      <c r="C98">
        <v>1603921565</v>
      </c>
      <c r="D98" t="s">
        <v>38</v>
      </c>
      <c r="E98" t="s">
        <v>39</v>
      </c>
      <c r="F98" t="s">
        <v>40</v>
      </c>
      <c r="G98" t="s">
        <v>41</v>
      </c>
      <c r="H98" t="s">
        <v>42</v>
      </c>
      <c r="I98" t="s">
        <v>43</v>
      </c>
      <c r="J98" t="s">
        <v>63</v>
      </c>
      <c r="K98" t="s">
        <v>249</v>
      </c>
      <c r="L98" t="s">
        <v>402</v>
      </c>
      <c r="M98" t="s">
        <v>403</v>
      </c>
      <c r="N98" t="s">
        <v>49</v>
      </c>
      <c r="O98" t="s">
        <v>48</v>
      </c>
      <c r="P98" t="s">
        <v>48</v>
      </c>
      <c r="Q98" t="s">
        <v>124</v>
      </c>
      <c r="R98" t="s">
        <v>38</v>
      </c>
      <c r="S98" t="s">
        <v>404</v>
      </c>
      <c r="T98">
        <v>615845</v>
      </c>
      <c r="U98">
        <v>0</v>
      </c>
      <c r="V98" t="s">
        <v>49</v>
      </c>
      <c r="W98" t="str">
        <f t="shared" si="20"/>
        <v xml:space="preserve">  </v>
      </c>
      <c r="Y98" t="str">
        <f>"Bryant property maintenance and construction"</f>
        <v>Bryant property maintenance and construction</v>
      </c>
      <c r="Z98" t="str">
        <f>"1-3157623190"</f>
        <v>1-3157623190</v>
      </c>
      <c r="AA98" t="str">
        <f t="shared" si="24"/>
        <v xml:space="preserve">  </v>
      </c>
      <c r="AB98" t="str">
        <f t="shared" si="24"/>
        <v xml:space="preserve">  </v>
      </c>
      <c r="AC98" t="str">
        <f>"Munnsville"</f>
        <v>Munnsville</v>
      </c>
      <c r="AD98" t="str">
        <f>"NY"</f>
        <v>NY</v>
      </c>
      <c r="AE98" t="str">
        <f>"13409"</f>
        <v>13409</v>
      </c>
      <c r="AG98" t="str">
        <f>"1000509999/CR513, 515, 520, 521, 522, 523 and 524_x000D_
1000509999/CR514, 516, 518, 518 and 519"</f>
        <v>1000509999/CR513, 515, 520, 521, 522, 523 and 524_x000D_
1000509999/CR514, 516, 518, 518 and 519</v>
      </c>
      <c r="AH98" t="str">
        <f>""</f>
        <v/>
      </c>
      <c r="AI98" t="str">
        <f>""</f>
        <v/>
      </c>
      <c r="AJ98" t="str">
        <f>""</f>
        <v/>
      </c>
      <c r="AK98" t="str">
        <f>""</f>
        <v/>
      </c>
    </row>
    <row r="99" spans="1:37" x14ac:dyDescent="0.35">
      <c r="A99" t="s">
        <v>405</v>
      </c>
    </row>
  </sheetData>
  <pageMargins left="0.7" right="0.7" top="0.75" bottom="0.75" header="0.3" footer="0.3"/>
  <pageSetup paperSize="5"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AttendancePreliminaryDetailedRe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Burtch, Jennifer</dc:creator>
  <cp:lastModifiedBy>Burtch, Jennifer</cp:lastModifiedBy>
  <dcterms:created xsi:type="dcterms:W3CDTF">2021-03-23T13:07:38Z</dcterms:created>
  <dcterms:modified xsi:type="dcterms:W3CDTF">2021-03-24T14:40:06Z</dcterms:modified>
</cp:coreProperties>
</file>